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ément\Desktop\PROJET NOVATEUR\APPEL D'OFFRES 2016\CIUSSS CCSMTL\SUIVI BUDGÉTAIRE\"/>
    </mc:Choice>
  </mc:AlternateContent>
  <bookViews>
    <workbookView xWindow="0" yWindow="0" windowWidth="15015" windowHeight="8175" activeTab="5"/>
  </bookViews>
  <sheets>
    <sheet name="DOCUMENTS" sheetId="4" r:id="rId1"/>
    <sheet name="DONNÉES" sheetId="2" r:id="rId2"/>
    <sheet name="NOTES" sheetId="3" r:id="rId3"/>
    <sheet name=" BUDGET 2018-2010" sheetId="1" r:id="rId4"/>
    <sheet name="SUIVI AN 1" sheetId="5" r:id="rId5"/>
    <sheet name="SUIVI AN 2" sheetId="6"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6" i="6" l="1"/>
  <c r="V45" i="6"/>
  <c r="V47" i="6"/>
  <c r="V42" i="6"/>
  <c r="V31" i="6"/>
  <c r="V23" i="6"/>
  <c r="V22" i="6"/>
  <c r="V18" i="6"/>
  <c r="V17" i="6"/>
  <c r="V15" i="6"/>
  <c r="V14" i="6"/>
  <c r="V13" i="6"/>
  <c r="V12" i="6"/>
  <c r="V11" i="6"/>
  <c r="V8" i="6"/>
  <c r="T46" i="6"/>
  <c r="T47" i="6" s="1"/>
  <c r="T45" i="6"/>
  <c r="T30" i="6"/>
  <c r="V30" i="6" s="1"/>
  <c r="T29" i="6"/>
  <c r="V29" i="6" s="1"/>
  <c r="T28" i="6"/>
  <c r="V28" i="6" s="1"/>
  <c r="T26" i="6"/>
  <c r="T22" i="6"/>
  <c r="T18" i="6"/>
  <c r="T17" i="6"/>
  <c r="T15" i="6"/>
  <c r="T14" i="6"/>
  <c r="T13" i="6"/>
  <c r="T12" i="6"/>
  <c r="T11" i="6"/>
  <c r="V16" i="6"/>
  <c r="N16" i="6"/>
  <c r="S16" i="6"/>
  <c r="K16" i="6"/>
  <c r="V41" i="6"/>
  <c r="V40" i="6"/>
  <c r="V39" i="6"/>
  <c r="V38" i="6"/>
  <c r="V37" i="6"/>
  <c r="V36" i="6"/>
  <c r="V35" i="6"/>
  <c r="T34" i="6"/>
  <c r="T42" i="6" s="1"/>
  <c r="V27" i="6"/>
  <c r="L22" i="6"/>
  <c r="L18" i="6"/>
  <c r="N18" i="6" s="1"/>
  <c r="L17" i="6"/>
  <c r="N17" i="6" s="1"/>
  <c r="L15" i="6"/>
  <c r="N15" i="6" s="1"/>
  <c r="L14" i="6"/>
  <c r="N14" i="6" s="1"/>
  <c r="L13" i="6"/>
  <c r="N13" i="6" s="1"/>
  <c r="L12" i="6"/>
  <c r="L11" i="6"/>
  <c r="I51" i="6"/>
  <c r="H51" i="6"/>
  <c r="H49" i="6"/>
  <c r="I47" i="6"/>
  <c r="H47" i="6"/>
  <c r="E46" i="6"/>
  <c r="F46" i="6"/>
  <c r="G46" i="6"/>
  <c r="H46" i="6"/>
  <c r="I46" i="6"/>
  <c r="E45" i="6"/>
  <c r="F45" i="6"/>
  <c r="G45" i="6"/>
  <c r="H45" i="6"/>
  <c r="I45" i="6"/>
  <c r="C46" i="6"/>
  <c r="C45" i="6"/>
  <c r="I42" i="6"/>
  <c r="I35" i="6"/>
  <c r="I36" i="6"/>
  <c r="I37" i="6"/>
  <c r="I38" i="6"/>
  <c r="I39" i="6"/>
  <c r="I40" i="6"/>
  <c r="I41" i="6"/>
  <c r="I34" i="6"/>
  <c r="H35" i="6"/>
  <c r="H36" i="6"/>
  <c r="H37" i="6"/>
  <c r="H38" i="6"/>
  <c r="H39" i="6"/>
  <c r="N39" i="6" s="1"/>
  <c r="H40" i="6"/>
  <c r="H41" i="6"/>
  <c r="N41" i="6" s="1"/>
  <c r="H34" i="6"/>
  <c r="H42" i="6" s="1"/>
  <c r="G35" i="6"/>
  <c r="G36" i="6"/>
  <c r="G37" i="6"/>
  <c r="G38" i="6"/>
  <c r="G39" i="6"/>
  <c r="G40" i="6"/>
  <c r="G41" i="6"/>
  <c r="G34" i="6"/>
  <c r="E36" i="6"/>
  <c r="E37" i="6"/>
  <c r="E38" i="6"/>
  <c r="E40" i="6"/>
  <c r="E41" i="6"/>
  <c r="F35" i="6"/>
  <c r="F36" i="6"/>
  <c r="F37" i="6"/>
  <c r="F38" i="6"/>
  <c r="F39" i="6"/>
  <c r="F40" i="6"/>
  <c r="F41" i="6"/>
  <c r="F34" i="6"/>
  <c r="C35" i="6"/>
  <c r="C36" i="6"/>
  <c r="C37" i="6"/>
  <c r="C38" i="6"/>
  <c r="C39" i="6"/>
  <c r="C40" i="6"/>
  <c r="C41" i="6"/>
  <c r="C34" i="6"/>
  <c r="I31" i="6"/>
  <c r="H31" i="6"/>
  <c r="H27" i="6"/>
  <c r="H28" i="6"/>
  <c r="H29" i="6"/>
  <c r="H30" i="6"/>
  <c r="H26" i="6"/>
  <c r="H23" i="6"/>
  <c r="I23" i="6"/>
  <c r="I10" i="6"/>
  <c r="I11" i="6"/>
  <c r="I13" i="6"/>
  <c r="I14" i="6"/>
  <c r="I16" i="6"/>
  <c r="I21" i="6"/>
  <c r="I22" i="6"/>
  <c r="I7" i="6"/>
  <c r="H11" i="6"/>
  <c r="H12" i="6"/>
  <c r="H13" i="6"/>
  <c r="H14" i="6"/>
  <c r="H15" i="6"/>
  <c r="H17" i="6"/>
  <c r="H18" i="6"/>
  <c r="H22" i="6"/>
  <c r="H8" i="6"/>
  <c r="D11" i="6"/>
  <c r="F10" i="6"/>
  <c r="F11" i="6"/>
  <c r="F12" i="6"/>
  <c r="F13" i="6"/>
  <c r="F14" i="6"/>
  <c r="F15" i="6"/>
  <c r="F16" i="6"/>
  <c r="F17" i="6"/>
  <c r="F18" i="6"/>
  <c r="F21" i="6"/>
  <c r="F22" i="6"/>
  <c r="F8" i="6"/>
  <c r="F7" i="6"/>
  <c r="G7" i="6"/>
  <c r="E7" i="6"/>
  <c r="D12" i="6"/>
  <c r="D13" i="6"/>
  <c r="D14" i="6"/>
  <c r="D15" i="6"/>
  <c r="D17" i="6"/>
  <c r="D18" i="6"/>
  <c r="D22" i="6"/>
  <c r="D8" i="6"/>
  <c r="N38" i="6"/>
  <c r="N37" i="6"/>
  <c r="N35" i="6"/>
  <c r="N40" i="6"/>
  <c r="D68" i="6"/>
  <c r="D67" i="6"/>
  <c r="H66" i="6"/>
  <c r="D66" i="6"/>
  <c r="H65" i="6"/>
  <c r="D65" i="6"/>
  <c r="H64" i="6"/>
  <c r="D64" i="6"/>
  <c r="L46" i="6"/>
  <c r="L45" i="6"/>
  <c r="L34" i="6"/>
  <c r="L30" i="6"/>
  <c r="L29" i="6"/>
  <c r="N29" i="6" s="1"/>
  <c r="L28" i="6"/>
  <c r="L26" i="6"/>
  <c r="T31" i="6" l="1"/>
  <c r="V26" i="6"/>
  <c r="T23" i="6"/>
  <c r="T51" i="6" s="1"/>
  <c r="U31" i="6" s="1"/>
  <c r="W31" i="6" s="1"/>
  <c r="V34" i="6"/>
  <c r="N36" i="6"/>
  <c r="N11" i="6"/>
  <c r="N12" i="6"/>
  <c r="N46" i="6"/>
  <c r="N28" i="6"/>
  <c r="L47" i="6"/>
  <c r="N45" i="6"/>
  <c r="L31" i="6"/>
  <c r="N30" i="6"/>
  <c r="N34" i="6"/>
  <c r="N26" i="6"/>
  <c r="N8" i="6"/>
  <c r="N22" i="6"/>
  <c r="N27" i="6"/>
  <c r="L23" i="6"/>
  <c r="M7" i="6" s="1"/>
  <c r="L42" i="6"/>
  <c r="L34" i="5"/>
  <c r="I40" i="5"/>
  <c r="I41" i="5"/>
  <c r="H40" i="5"/>
  <c r="N40" i="5" s="1"/>
  <c r="AI40" i="1"/>
  <c r="AI41" i="1"/>
  <c r="L36" i="5"/>
  <c r="U10" i="6" l="1"/>
  <c r="W10" i="6" s="1"/>
  <c r="V51" i="6"/>
  <c r="U23" i="6"/>
  <c r="W23" i="6" s="1"/>
  <c r="U21" i="6"/>
  <c r="W21" i="6" s="1"/>
  <c r="U42" i="6"/>
  <c r="W42" i="6" s="1"/>
  <c r="S52" i="6"/>
  <c r="U52" i="6" s="1"/>
  <c r="U51" i="6"/>
  <c r="W51" i="6" s="1"/>
  <c r="U47" i="6"/>
  <c r="W47" i="6" s="1"/>
  <c r="U7" i="6"/>
  <c r="W7" i="6" s="1"/>
  <c r="L51" i="6"/>
  <c r="N31" i="6"/>
  <c r="M21" i="6"/>
  <c r="N47" i="6"/>
  <c r="O7" i="6"/>
  <c r="N42" i="6"/>
  <c r="M10" i="6"/>
  <c r="N23" i="6"/>
  <c r="E22" i="2"/>
  <c r="L30" i="5"/>
  <c r="E16" i="2"/>
  <c r="E18" i="2"/>
  <c r="L29" i="5"/>
  <c r="E17" i="2"/>
  <c r="L28" i="5"/>
  <c r="L26" i="5"/>
  <c r="E15" i="2"/>
  <c r="E13" i="2"/>
  <c r="D13" i="2"/>
  <c r="L46" i="5"/>
  <c r="N38" i="5"/>
  <c r="N37" i="5"/>
  <c r="N35" i="5"/>
  <c r="L45" i="5"/>
  <c r="L12" i="5"/>
  <c r="L11" i="5"/>
  <c r="L9" i="5"/>
  <c r="L8" i="5"/>
  <c r="M42" i="6" l="1"/>
  <c r="O42" i="6" s="1"/>
  <c r="K52" i="6"/>
  <c r="M31" i="6"/>
  <c r="O31" i="6" s="1"/>
  <c r="M51" i="6"/>
  <c r="O51" i="6" s="1"/>
  <c r="M47" i="6"/>
  <c r="O47" i="6" s="1"/>
  <c r="M23" i="6"/>
  <c r="O23" i="6" s="1"/>
  <c r="M52" i="6"/>
  <c r="O21" i="6"/>
  <c r="O10" i="6"/>
  <c r="N51" i="6"/>
  <c r="D15" i="2"/>
  <c r="H41" i="5" l="1"/>
  <c r="N41" i="5" s="1"/>
  <c r="F12" i="5"/>
  <c r="F13" i="5"/>
  <c r="F27" i="5"/>
  <c r="F28" i="5"/>
  <c r="F29" i="5"/>
  <c r="F30" i="5"/>
  <c r="F26" i="5"/>
  <c r="D9" i="5"/>
  <c r="D8" i="5"/>
  <c r="D22" i="5"/>
  <c r="F16" i="5"/>
  <c r="F21" i="5"/>
  <c r="F22" i="5"/>
  <c r="F8" i="5"/>
  <c r="F9" i="5"/>
  <c r="F10" i="5"/>
  <c r="F11" i="5"/>
  <c r="F7" i="5"/>
  <c r="D17" i="2"/>
  <c r="H13" i="2"/>
  <c r="L42" i="5" l="1"/>
  <c r="L47" i="5"/>
  <c r="H30" i="1" l="1"/>
  <c r="H30" i="5" s="1"/>
  <c r="N30" i="5" s="1"/>
  <c r="D12" i="5"/>
  <c r="H65" i="5"/>
  <c r="H66" i="5"/>
  <c r="H67" i="5"/>
  <c r="D65" i="5"/>
  <c r="D66" i="5"/>
  <c r="D67" i="5"/>
  <c r="D68" i="5"/>
  <c r="D69" i="5"/>
  <c r="H62" i="5"/>
  <c r="H63" i="5"/>
  <c r="A63" i="5"/>
  <c r="A62" i="5"/>
  <c r="D62" i="5"/>
  <c r="D63" i="5"/>
  <c r="O11" i="1"/>
  <c r="H58" i="5"/>
  <c r="H59" i="5"/>
  <c r="H60" i="5"/>
  <c r="H61" i="5"/>
  <c r="D58" i="5"/>
  <c r="D59" i="5"/>
  <c r="D60" i="5"/>
  <c r="D61" i="5"/>
  <c r="H57" i="5"/>
  <c r="D57" i="5"/>
  <c r="D11" i="5"/>
  <c r="L41" i="1" l="1"/>
  <c r="U41" i="1" s="1"/>
  <c r="AD41" i="1" s="1"/>
  <c r="L31" i="5" l="1"/>
  <c r="I46" i="5"/>
  <c r="I45" i="5"/>
  <c r="I39" i="5"/>
  <c r="I38" i="5"/>
  <c r="I37" i="5"/>
  <c r="I36" i="5"/>
  <c r="I35" i="5"/>
  <c r="I34" i="5"/>
  <c r="I30" i="5"/>
  <c r="I29" i="5"/>
  <c r="I28" i="5"/>
  <c r="I27" i="5"/>
  <c r="I26" i="5"/>
  <c r="I22" i="5"/>
  <c r="I20" i="5"/>
  <c r="I19" i="5"/>
  <c r="I18" i="5"/>
  <c r="I17" i="5"/>
  <c r="I16" i="5"/>
  <c r="I15" i="5"/>
  <c r="I13" i="5"/>
  <c r="I12" i="5"/>
  <c r="I11" i="5"/>
  <c r="I9" i="5"/>
  <c r="I8" i="5"/>
  <c r="H45" i="1" l="1"/>
  <c r="H45" i="5" s="1"/>
  <c r="N45" i="5" s="1"/>
  <c r="I7" i="2"/>
  <c r="I9" i="2"/>
  <c r="I10" i="2"/>
  <c r="J8" i="2"/>
  <c r="M8" i="2" s="1"/>
  <c r="J10" i="2"/>
  <c r="L10" i="2" s="1"/>
  <c r="J9" i="2"/>
  <c r="L9" i="2" s="1"/>
  <c r="Q22" i="1" s="1"/>
  <c r="J7" i="2"/>
  <c r="O7" i="2" s="1"/>
  <c r="G8" i="2"/>
  <c r="I8" i="2" s="1"/>
  <c r="Q14" i="1" s="1"/>
  <c r="O10" i="2" l="1"/>
  <c r="Q18" i="1" s="1"/>
  <c r="H12" i="1"/>
  <c r="H12" i="5" s="1"/>
  <c r="N12" i="5" s="1"/>
  <c r="H11" i="1"/>
  <c r="H11" i="5" s="1"/>
  <c r="N11" i="5" s="1"/>
  <c r="H13" i="1"/>
  <c r="H13" i="5" s="1"/>
  <c r="N13" i="5" s="1"/>
  <c r="P8" i="2"/>
  <c r="O8" i="2"/>
  <c r="P7" i="2"/>
  <c r="P9" i="2"/>
  <c r="Q17" i="1"/>
  <c r="O9" i="2"/>
  <c r="P10" i="2"/>
  <c r="L7" i="2"/>
  <c r="Q8" i="1" s="1"/>
  <c r="S8" i="2"/>
  <c r="U8" i="2" s="1"/>
  <c r="F10" i="2"/>
  <c r="F7" i="2"/>
  <c r="F9" i="2"/>
  <c r="L22" i="5" s="1"/>
  <c r="AG46" i="1"/>
  <c r="AG45" i="1"/>
  <c r="AG39" i="1"/>
  <c r="AG38" i="1"/>
  <c r="AG37" i="1"/>
  <c r="AG36" i="1"/>
  <c r="AG35" i="1"/>
  <c r="AG34" i="1"/>
  <c r="AG27" i="1"/>
  <c r="AG28" i="1"/>
  <c r="AG29" i="1"/>
  <c r="AG30" i="1"/>
  <c r="AG26" i="1"/>
  <c r="AG22" i="1"/>
  <c r="AG17" i="1"/>
  <c r="AI17" i="1" s="1"/>
  <c r="AG11" i="1"/>
  <c r="AI11" i="1" s="1"/>
  <c r="AG8" i="1"/>
  <c r="Z46" i="1"/>
  <c r="Z45" i="1"/>
  <c r="Z39" i="1"/>
  <c r="Z38" i="1"/>
  <c r="Z37" i="1"/>
  <c r="Z36" i="1"/>
  <c r="Z35" i="1"/>
  <c r="Z34" i="1"/>
  <c r="Z30" i="1"/>
  <c r="Z29" i="1"/>
  <c r="Z28" i="1"/>
  <c r="Z27" i="1"/>
  <c r="Z26" i="1"/>
  <c r="Z9" i="1"/>
  <c r="Q46" i="1"/>
  <c r="Q45" i="1"/>
  <c r="Q37" i="1"/>
  <c r="Q39" i="1"/>
  <c r="Q38" i="1"/>
  <c r="Q36" i="1"/>
  <c r="Q35" i="1"/>
  <c r="L35" i="1"/>
  <c r="U35" i="1" s="1"/>
  <c r="AD35" i="1" s="1"/>
  <c r="L34" i="1"/>
  <c r="U34" i="1" s="1"/>
  <c r="AD34" i="1" s="1"/>
  <c r="Q34" i="1"/>
  <c r="Q30" i="1"/>
  <c r="Q29" i="1"/>
  <c r="Q28" i="1"/>
  <c r="Q27" i="1"/>
  <c r="Q26" i="1"/>
  <c r="Q9" i="1"/>
  <c r="H46" i="1"/>
  <c r="H46" i="5" s="1"/>
  <c r="N46" i="5" s="1"/>
  <c r="H39" i="1"/>
  <c r="H39" i="5" s="1"/>
  <c r="N39" i="5" s="1"/>
  <c r="H36" i="1"/>
  <c r="H36" i="5" s="1"/>
  <c r="N36" i="5" s="1"/>
  <c r="H34" i="1"/>
  <c r="H34" i="5" s="1"/>
  <c r="H29" i="1"/>
  <c r="H29" i="5" s="1"/>
  <c r="N29" i="5" s="1"/>
  <c r="H28" i="1"/>
  <c r="H28" i="5" s="1"/>
  <c r="N28" i="5" s="1"/>
  <c r="H27" i="1"/>
  <c r="H27" i="5" s="1"/>
  <c r="N27" i="5" s="1"/>
  <c r="H26" i="1"/>
  <c r="H26" i="5" s="1"/>
  <c r="N26" i="5" s="1"/>
  <c r="H9" i="1"/>
  <c r="H9" i="5" s="1"/>
  <c r="N9" i="5" s="1"/>
  <c r="L23" i="5" l="1"/>
  <c r="M21" i="5" s="1"/>
  <c r="N34" i="5"/>
  <c r="H42" i="5"/>
  <c r="N42" i="5" s="1"/>
  <c r="H47" i="5"/>
  <c r="N47" i="5" s="1"/>
  <c r="H31" i="5"/>
  <c r="N31" i="5" s="1"/>
  <c r="Q42" i="1"/>
  <c r="Z42" i="1"/>
  <c r="H42" i="1"/>
  <c r="R7" i="2"/>
  <c r="Z8" i="1" s="1"/>
  <c r="U7" i="2"/>
  <c r="R9" i="2"/>
  <c r="Z22" i="1" s="1"/>
  <c r="U9" i="2"/>
  <c r="Q13" i="1"/>
  <c r="Q15" i="1"/>
  <c r="Q12" i="1"/>
  <c r="Q11" i="1"/>
  <c r="Z13" i="1"/>
  <c r="Z15" i="1"/>
  <c r="Z11" i="1"/>
  <c r="Z12" i="1"/>
  <c r="R10" i="2"/>
  <c r="U10" i="2"/>
  <c r="AI22" i="1"/>
  <c r="Z31" i="1"/>
  <c r="AI37" i="1"/>
  <c r="AI29" i="1"/>
  <c r="AI28" i="1"/>
  <c r="AI27" i="1"/>
  <c r="AI38" i="1"/>
  <c r="AI36" i="1"/>
  <c r="AI26" i="1"/>
  <c r="AI30" i="1"/>
  <c r="Z47" i="1"/>
  <c r="AI45" i="1"/>
  <c r="AI34" i="1"/>
  <c r="AI39" i="1"/>
  <c r="AI35" i="1"/>
  <c r="AI46" i="1"/>
  <c r="H22" i="1"/>
  <c r="H22" i="5" s="1"/>
  <c r="Q47" i="1"/>
  <c r="H8" i="1"/>
  <c r="H8" i="5" s="1"/>
  <c r="N8" i="5" s="1"/>
  <c r="Q31" i="1"/>
  <c r="H47" i="1"/>
  <c r="H31" i="1"/>
  <c r="M7" i="5" l="1"/>
  <c r="L52" i="5"/>
  <c r="M10" i="5"/>
  <c r="M23" i="5"/>
  <c r="AI42" i="1"/>
  <c r="N22" i="5"/>
  <c r="H23" i="5"/>
  <c r="I21" i="5" s="1"/>
  <c r="O21" i="5" s="1"/>
  <c r="Z18" i="1"/>
  <c r="Z17" i="1"/>
  <c r="AI31" i="1"/>
  <c r="AI8" i="1"/>
  <c r="Q23" i="1"/>
  <c r="H23" i="1"/>
  <c r="AI47" i="1"/>
  <c r="M31" i="5" l="1"/>
  <c r="K53" i="5"/>
  <c r="M53" i="5" s="1"/>
  <c r="M52" i="5"/>
  <c r="M42" i="5"/>
  <c r="M47" i="5"/>
  <c r="Z23" i="1"/>
  <c r="AA7" i="1" s="1"/>
  <c r="N23" i="5"/>
  <c r="N52" i="5" s="1"/>
  <c r="H52" i="5"/>
  <c r="H49" i="5" s="1"/>
  <c r="I10" i="5"/>
  <c r="O10" i="5" s="1"/>
  <c r="I7" i="5"/>
  <c r="O7" i="5" s="1"/>
  <c r="AI23" i="1"/>
  <c r="AI51" i="1" s="1"/>
  <c r="AJ51" i="1" s="1"/>
  <c r="Q51" i="1"/>
  <c r="R21" i="1"/>
  <c r="R16" i="1"/>
  <c r="R10" i="1"/>
  <c r="R7" i="1"/>
  <c r="I10" i="1"/>
  <c r="I7" i="1"/>
  <c r="H51" i="1"/>
  <c r="I21" i="1"/>
  <c r="R51" i="1" l="1"/>
  <c r="Q49" i="1"/>
  <c r="I51" i="1"/>
  <c r="H49" i="1"/>
  <c r="AA10" i="1"/>
  <c r="AA21" i="1"/>
  <c r="AA16" i="1"/>
  <c r="I23" i="5"/>
  <c r="O23" i="5" s="1"/>
  <c r="Z51" i="1"/>
  <c r="Z49" i="1" s="1"/>
  <c r="I52" i="5"/>
  <c r="O52" i="5" s="1"/>
  <c r="I42" i="5"/>
  <c r="O42" i="5" s="1"/>
  <c r="I47" i="5"/>
  <c r="O47" i="5" s="1"/>
  <c r="I31" i="5"/>
  <c r="O31" i="5" s="1"/>
  <c r="I23" i="1"/>
  <c r="R23" i="1"/>
  <c r="AJ47" i="1"/>
  <c r="AJ31" i="1"/>
  <c r="AJ42" i="1"/>
  <c r="AJ23" i="1"/>
  <c r="AJ21" i="1"/>
  <c r="AJ10" i="1"/>
  <c r="AJ16" i="1"/>
  <c r="AJ7" i="1"/>
  <c r="R42" i="1"/>
  <c r="R47" i="1"/>
  <c r="R31" i="1"/>
  <c r="I31" i="1"/>
  <c r="I42" i="1"/>
  <c r="I47" i="1"/>
  <c r="AA47" i="1" l="1"/>
  <c r="AA51" i="1"/>
  <c r="AA23" i="1"/>
  <c r="AA42" i="1"/>
  <c r="AI49" i="1"/>
  <c r="AA31" i="1"/>
</calcChain>
</file>

<file path=xl/sharedStrings.xml><?xml version="1.0" encoding="utf-8"?>
<sst xmlns="http://schemas.openxmlformats.org/spreadsheetml/2006/main" count="640" uniqueCount="186">
  <si>
    <t>Chargée de projet</t>
  </si>
  <si>
    <t>Éducatrice</t>
  </si>
  <si>
    <t>Chargée de projet (éducatrice)</t>
  </si>
  <si>
    <t>Animateur CJE-RDP</t>
  </si>
  <si>
    <t>Animateur</t>
  </si>
  <si>
    <t>MONTANT $</t>
  </si>
  <si>
    <t>04/09 - 03/11</t>
  </si>
  <si>
    <t>05/11 -19/12</t>
  </si>
  <si>
    <t>2 jours x 7h (entrevues/transfert)</t>
  </si>
  <si>
    <t>Agent d'intervention</t>
  </si>
  <si>
    <t>Agent</t>
  </si>
  <si>
    <t>IPADS</t>
  </si>
  <si>
    <t>Tablette</t>
  </si>
  <si>
    <t>Télévoteur</t>
  </si>
  <si>
    <t>Portable</t>
  </si>
  <si>
    <t>Imprimante</t>
  </si>
  <si>
    <t>ordi</t>
  </si>
  <si>
    <t>Valise de transport</t>
  </si>
  <si>
    <t>malette</t>
  </si>
  <si>
    <t>Panier du participant</t>
  </si>
  <si>
    <t>panier</t>
  </si>
  <si>
    <t xml:space="preserve">Papeterie / cartouches d'encre </t>
  </si>
  <si>
    <t>Kilométrage</t>
  </si>
  <si>
    <t>kilomètre</t>
  </si>
  <si>
    <t>Stationnement</t>
  </si>
  <si>
    <t>Éducatrice insertion socio-prof</t>
  </si>
  <si>
    <t>atelier</t>
  </si>
  <si>
    <t>Jour</t>
  </si>
  <si>
    <t>HEURE</t>
  </si>
  <si>
    <t>JOUR</t>
  </si>
  <si>
    <t>Heure</t>
  </si>
  <si>
    <t>Collation</t>
  </si>
  <si>
    <t>Télévoteurs</t>
  </si>
  <si>
    <t>Ordi</t>
  </si>
  <si>
    <t>Kit</t>
  </si>
  <si>
    <t>Panier participant</t>
  </si>
  <si>
    <t>kit</t>
  </si>
  <si>
    <t>Papetrie cartouche encre</t>
  </si>
  <si>
    <t>Stationnement CDP</t>
  </si>
  <si>
    <t>Stat CDP</t>
  </si>
  <si>
    <t>#</t>
  </si>
  <si>
    <t>#1</t>
  </si>
  <si>
    <t>#2</t>
  </si>
  <si>
    <t>#3</t>
  </si>
  <si>
    <t>#4</t>
  </si>
  <si>
    <t>#5</t>
  </si>
  <si>
    <t>#6</t>
  </si>
  <si>
    <t>AN 1</t>
  </si>
  <si>
    <t>DÉTAILS</t>
  </si>
  <si>
    <t>NOTE</t>
  </si>
  <si>
    <t>NB</t>
  </si>
  <si>
    <t>UNITÉ</t>
  </si>
  <si>
    <t>RESSOURCES HUMAINES</t>
  </si>
  <si>
    <t>ÉQUIPEMENT</t>
  </si>
  <si>
    <t>SOUS-TOTAL</t>
  </si>
  <si>
    <t>SOUS_TOTAL</t>
  </si>
  <si>
    <t>MATÉRIEL / FRAIS D'ANIMATION</t>
  </si>
  <si>
    <t>FRAIS DE DÉPLACEMENT</t>
  </si>
  <si>
    <t>AN 2</t>
  </si>
  <si>
    <t>2 jours/semaine x 46</t>
  </si>
  <si>
    <t>24 semaines x 3h</t>
  </si>
  <si>
    <t>35h animation en sous-groupe</t>
  </si>
  <si>
    <t xml:space="preserve">70h suivis et transferts </t>
  </si>
  <si>
    <t>70h équivalence scolaire</t>
  </si>
  <si>
    <t>Développement Autonomie</t>
  </si>
  <si>
    <t>Éducatrice insertion socio-professionnelle</t>
  </si>
  <si>
    <t>8 sem x 3h Animation Autonomie</t>
  </si>
  <si>
    <t>24 semaines x 1 jour</t>
  </si>
  <si>
    <t>Collations/jeunes x groupe</t>
  </si>
  <si>
    <t>Collations/jeunes x sous-groupe</t>
  </si>
  <si>
    <t>Matériel scolaire et frais d'examens</t>
  </si>
  <si>
    <t>Jeune</t>
  </si>
  <si>
    <t>jeune</t>
  </si>
  <si>
    <t>Matériel et frais examen x jeune</t>
  </si>
  <si>
    <t>Fournitures pour atelier Autonomie</t>
  </si>
  <si>
    <t>#8</t>
  </si>
  <si>
    <t>#9</t>
  </si>
  <si>
    <t>#7</t>
  </si>
  <si>
    <t xml:space="preserve">Le programme de développement de l’autonomie comporte plusieurs ateliers dont l’apprentissage se déroule dans un milieu social (ex :  épicerie, centre d’emploi, buanderie, etc.).  Comme nous devons adapter le contenu de façon à mettre en place les mêmes apprentissages, mais dans un milieu de vie cloisonné, la créativité sera nécessaire.  À ce moment-ci, nous ne savons pas quel équipement sera nécessaire et pertinent.  L’objectif est également de développer une trousse d’animation comprenant tous les outils pour assurer l’animation de ce type de contenu en milieu d’hébergement.    </t>
  </si>
  <si>
    <t xml:space="preserve">Les tests d’équivalence occasionnent approximativement les dépenses suivantes :  $60 de frais d’inscription au programme, $50 pour le manuel de préparation, possibilité de $140 de frais d’examen (à noter : les frais du premier examen sont gratuits, mais la reprise coute $20).   </t>
  </si>
  <si>
    <t xml:space="preserve">Les ateliers de préparation aux tests d’équivalence seront co-animés par un intervenant d’un CJE de Montréal et d’un éducateur du Centre multi-services.  Seuls les honoraires professionnels de l’intervenant du CJE seront assumés par le projet.  </t>
  </si>
  <si>
    <t xml:space="preserve">Le panier du participant sera remis au jeune lorsqu’il complètera le programme Employabilité.  Il sera composé d’un porte-documents avec fermeture éclair permettant de rassembler la documentation pertinente (valeur de $60 environ) et comprenant une clé USB ($15,00), tablette et stylos ($10,00) et une carte-cadeau pour photocopies ($15). </t>
  </si>
  <si>
    <t>Kit atelier autonomie</t>
  </si>
  <si>
    <t>AN 3</t>
  </si>
  <si>
    <t>8 sem x 9h Animation Autonomie</t>
  </si>
  <si>
    <t>BUDGET CUMULATIF DU PROJET</t>
  </si>
  <si>
    <t>Taux horaire de base – les avantages sociaux et charges sociales sont assumés par le CCSMTL</t>
  </si>
  <si>
    <t>#10</t>
  </si>
  <si>
    <t>Taux horaire de base – les avantages sociaux et charges sociales sont assumés par le CJE RDP</t>
  </si>
  <si>
    <t>#11</t>
  </si>
  <si>
    <t>TOTAL AN 1:</t>
  </si>
  <si>
    <t>TOTAL AN 2:</t>
  </si>
  <si>
    <t>TOTAL AN 3:</t>
  </si>
  <si>
    <t>BUDGET CUMULATIF DU PROJET:</t>
  </si>
  <si>
    <t>Notes au budget</t>
  </si>
  <si>
    <t>SALAIRES DES INTERVENANTS</t>
  </si>
  <si>
    <t>CHARGES SOCIALES</t>
  </si>
  <si>
    <t>COÛTS DE SYSTÈME</t>
  </si>
  <si>
    <t>COÛT DU MATÉRIEL</t>
  </si>
  <si>
    <t>FRAIS D'ANIMATION</t>
  </si>
  <si>
    <t>HEURE / JOUR</t>
  </si>
  <si>
    <t xml:space="preserve">Seuls les frais de déplacement de l’animateur du CJE RDP sont inclus dans le budget.  Le CJE remborse 0,50 $ du kilomètre alors que le ceentre jeunesse fixe ce remboursement à 0,44 $ du kilomètre. Les frais de déplacement des employés du CCSMTL relatifs au projet seront pris en charge par l’établissement.  </t>
  </si>
  <si>
    <t>COÛT TOTAL HR</t>
  </si>
  <si>
    <t>Coût kilomètre CIUSSS</t>
  </si>
  <si>
    <t>Coût kilomètre CJE</t>
  </si>
  <si>
    <t>AJUSTEMENT BUDGÉTAIRE</t>
  </si>
  <si>
    <t>Cet ajustement doit être intégré dans la ventilation du budget de l'année pour que le montant total ne dépasse pas le maximum de financement possible du programme PROJETS NOVATEURS de la FQJC.</t>
  </si>
  <si>
    <t>#12</t>
  </si>
  <si>
    <t>MAXIMUM DU SOUTIEN FINANCIER DE LA FQJC</t>
  </si>
  <si>
    <t xml:space="preserve">Considérant les déplacements constants et l’importance du travail d’adaptation des différents programmes, la chargée de projet doit avoir accès à un ordinateur portable ou une tablette facilitant le travail en tous lieux.   Les frais de jeton électronique favorisant l’accessibilité à distance seront assurés par le CCSMTL.  L’imprimante portative sera utilisée lors de l’animation du groupe employabilité afin de permettre aux jeunes d’imprimer les documents nécessaires (ex : CV, documents de référence, etc.).  Une valise favorisant le transport de tout l’équipement informatique au lieu d’animation sera également nécessaire.  </t>
  </si>
  <si>
    <t>Le Centre multi-services a récemment adressé une demande de soutien à la FQJC afin de se procurer des télévoteurs.  Comme ceux-ci sont également nécessaires pour l’animation de l’atelier employabilité (et possiblement pour les autres types d’animation qui seront adaptés au cours du projet), nous incluons cette demande dans le présent projet.  Les télévoteurs seront donc un atout pour différents ateliers du Centre multi-services qui dessert exclusivement une clientèle de jeunes contrevenants présentant les profils de risque les plus élevés. Selon la technologie choisie (ex: tablette pour les jeunes et l'intervenante), une solution web pourrait ne pas nécessiter de télévoteurs.</t>
  </si>
  <si>
    <t>PROJET NOVATEUR (APPEL DE PROPOSITIONS 2016): CIUSSS/CSMTL CENTRE MULTISERVICES</t>
  </si>
  <si>
    <t xml:space="preserve"> 2018-2020 : BUDGET</t>
  </si>
  <si>
    <t xml:space="preserve"> 2018-2020 : BUDGET / NOTES</t>
  </si>
  <si>
    <t xml:space="preserve"> 2018-2020 : BUDGET / DONNÉES POUR FINS DE CALCUL</t>
  </si>
  <si>
    <t>MODIFICATIONS ET AJUSTEMENTS</t>
  </si>
  <si>
    <t>DATE</t>
  </si>
  <si>
    <t>M1</t>
  </si>
  <si>
    <t>M2</t>
  </si>
  <si>
    <t>M3</t>
  </si>
  <si>
    <t>M4</t>
  </si>
  <si>
    <t>Transferts de fins de groupe AN 1 reportés = +14h</t>
  </si>
  <si>
    <t>Transferts lors de fins de groupes; report An 2 = -14h</t>
  </si>
  <si>
    <r>
      <t xml:space="preserve">70h suivis et transferts </t>
    </r>
    <r>
      <rPr>
        <sz val="11"/>
        <color rgb="FFC00000"/>
        <rFont val="Calibri"/>
        <family val="2"/>
        <scheme val="minor"/>
      </rPr>
      <t>+ 14 An 1</t>
    </r>
  </si>
  <si>
    <t>M5</t>
  </si>
  <si>
    <t>M6</t>
  </si>
  <si>
    <t>M7</t>
  </si>
  <si>
    <t>Télévoteurs retirés du projet</t>
  </si>
  <si>
    <t>M8</t>
  </si>
  <si>
    <t>Achat anticipé</t>
  </si>
  <si>
    <t>M9</t>
  </si>
  <si>
    <t>Ajustement re: achat anticipé An 1</t>
  </si>
  <si>
    <t>M10</t>
  </si>
  <si>
    <t>Réduction en fonction du volume anticipé</t>
  </si>
  <si>
    <t>RÉEL</t>
  </si>
  <si>
    <t>%</t>
  </si>
  <si>
    <t>AN 1: BUDGET 2018</t>
  </si>
  <si>
    <t xml:space="preserve">Pour des motifs de sécurité, considérant que les animateurs du groupe « employabilité » sont tous deux des intervenants « externes » au milieu d’hébergement (un partenaire d’un organisme communautaire et une éducatrice du Centre multi-services), tenant compte également de la composition du groupe de jeunes (contrevenants en cours de placement en milieu fermé et ouvert, provenant d’unités différentes), la contribution d’un agent d’intervention nous apparait nécessaire lors de la tenue des ateliers.  Ce dernier contribuera à l’accompagnement des jeunes lors de leur déplacement et demeurera en soutien aux intervenants lors de l’animation de groupe en cas de situation particulière (nécessité de retourner un jeune dans son unité).  De plus, nous devons prévoir un nombre d’heures suffisant pour s’assurer que l’offre de quart de travail trouve preneur.  Le budget salaire est estimé au taux médian. La stratégie sera de choisir dess agents avec peu d'ancienneté au bas de l'échelle pour équilibrer le budget dans les ans 2 et 3. </t>
  </si>
  <si>
    <t xml:space="preserve">Outils de communication </t>
  </si>
  <si>
    <t>M11</t>
  </si>
  <si>
    <t>Ligne budgétaire ajoutée</t>
  </si>
  <si>
    <t>#13</t>
  </si>
  <si>
    <t>Cette ligne a été ajoutée pour tenir compte des besoins de communiquer la nature du projet à différents publics dont les jeunes (ex: Affiches du projet, documents de recrutement, infographie, impression, etc)</t>
  </si>
  <si>
    <t>Outils de communication</t>
  </si>
  <si>
    <t>Retard du début du groupe; 3 semaines d'activité An 1</t>
  </si>
  <si>
    <r>
      <rPr>
        <b/>
        <sz val="11"/>
        <color rgb="FFC00000"/>
        <rFont val="Calibri"/>
        <family val="2"/>
        <scheme val="minor"/>
      </rPr>
      <t>3</t>
    </r>
    <r>
      <rPr>
        <sz val="11"/>
        <color theme="1"/>
        <rFont val="Calibri"/>
        <family val="2"/>
        <scheme val="minor"/>
      </rPr>
      <t xml:space="preserve"> semaines x 3h</t>
    </r>
  </si>
  <si>
    <r>
      <rPr>
        <b/>
        <sz val="11"/>
        <color rgb="FFC00000"/>
        <rFont val="Calibri"/>
        <family val="2"/>
        <scheme val="minor"/>
      </rPr>
      <t>3</t>
    </r>
    <r>
      <rPr>
        <sz val="11"/>
        <color theme="1"/>
        <rFont val="Calibri"/>
        <family val="2"/>
        <scheme val="minor"/>
      </rPr>
      <t xml:space="preserve"> semaines x 7,75</t>
    </r>
  </si>
  <si>
    <r>
      <t xml:space="preserve">24 semaines x 3h </t>
    </r>
    <r>
      <rPr>
        <sz val="11"/>
        <color rgb="FFC00000"/>
        <rFont val="Calibri"/>
        <family val="2"/>
        <scheme val="minor"/>
      </rPr>
      <t>+ 5 sem An 1</t>
    </r>
  </si>
  <si>
    <t>Reprise de 5 semaines AN 1 groupe retardé</t>
  </si>
  <si>
    <r>
      <rPr>
        <sz val="11"/>
        <color rgb="FFC00000"/>
        <rFont val="Calibri"/>
        <family val="2"/>
        <scheme val="minor"/>
      </rPr>
      <t>29</t>
    </r>
    <r>
      <rPr>
        <sz val="11"/>
        <color theme="1"/>
        <rFont val="Calibri"/>
        <family val="2"/>
        <scheme val="minor"/>
      </rPr>
      <t xml:space="preserve"> semaines x 1 jour</t>
    </r>
  </si>
  <si>
    <r>
      <rPr>
        <sz val="11"/>
        <color rgb="FFC00000"/>
        <rFont val="Calibri"/>
        <family val="2"/>
        <scheme val="minor"/>
      </rPr>
      <t>3</t>
    </r>
    <r>
      <rPr>
        <sz val="11"/>
        <color theme="1"/>
        <rFont val="Calibri"/>
        <family val="2"/>
        <scheme val="minor"/>
      </rPr>
      <t xml:space="preserve"> jours x 7h (développement)</t>
    </r>
  </si>
  <si>
    <t>M12</t>
  </si>
  <si>
    <t xml:space="preserve">Report de 14h vers An 2 dû au changement/embauche </t>
  </si>
  <si>
    <t>+14h (développement An 1)</t>
  </si>
  <si>
    <t>M13</t>
  </si>
  <si>
    <t xml:space="preserve">Transfert de l'AN 1 dû au changement/embauche </t>
  </si>
  <si>
    <t>Clé USB intervenant</t>
  </si>
  <si>
    <r>
      <rPr>
        <sz val="11"/>
        <color rgb="FFC00000"/>
        <rFont val="Calibri"/>
        <family val="2"/>
        <scheme val="minor"/>
      </rPr>
      <t>0</t>
    </r>
    <r>
      <rPr>
        <sz val="11"/>
        <color theme="1"/>
        <rFont val="Calibri"/>
        <family val="2"/>
        <scheme val="minor"/>
      </rPr>
      <t xml:space="preserve"> jours x 7h (entrevues/transfert)</t>
    </r>
  </si>
  <si>
    <t>AVANCE À LA SIGNATURE</t>
  </si>
  <si>
    <t>TOTAL À REMBOURSER</t>
  </si>
  <si>
    <t>TPS</t>
  </si>
  <si>
    <t>TVQ</t>
  </si>
  <si>
    <t>TPS+TVQ</t>
  </si>
  <si>
    <t>Nb</t>
  </si>
  <si>
    <r>
      <t>Des enjeux d’accessibilité au matériel informatique sont présents actuellement.  Le groupe expérimental qui s’est déroulé en juin-juillet 2018 s’est déroulé à la bibliothèque du CR.  Cependant, seulement 4 ordinateurs sont disponibles ce qui ne permettait pas aux jeunes d’accéder au contenu informatique et à Internet tous en même temps.  Il s’agit d’une contrainte qui a un impact sur l’attention des jeunes participants.  Nous souhaitons donc acquérir du matériel informatique pour que chacun des jeunes puisse avoir accès au contenu informatique et à Internet directement durant l’activité de groupe.  À ce moment-ci, nous n’avons pas pu évaluer quel type d’équipement informatique serait le plus approprié pour nos besoins.  Pour chaque participant, un IPAD 6</t>
    </r>
    <r>
      <rPr>
        <vertAlign val="superscript"/>
        <sz val="12"/>
        <color theme="1"/>
        <rFont val="Calibri"/>
        <family val="2"/>
      </rPr>
      <t>ième</t>
    </r>
    <r>
      <rPr>
        <sz val="12"/>
        <color theme="1"/>
        <rFont val="Calibri"/>
        <family val="2"/>
      </rPr>
      <t xml:space="preserve"> génération (433,09 $) en plus d'un étui protecteur (13,827 $), taxable.</t>
    </r>
  </si>
  <si>
    <t>Ordi + souris + malette</t>
  </si>
  <si>
    <t>IPADS + étui protecteur</t>
  </si>
  <si>
    <t>Valise</t>
  </si>
  <si>
    <t>Stylo-bille</t>
  </si>
  <si>
    <t>Clé USB</t>
  </si>
  <si>
    <t>Cahier anneau classeur fermé</t>
  </si>
  <si>
    <t>Carte-cadeau Bureu en gros</t>
  </si>
  <si>
    <t>Non taxable</t>
  </si>
  <si>
    <t>Matériel documentaire</t>
  </si>
  <si>
    <t>Ajout de cette ligne pour identifier les achats de documentation servant à la préparation des activités ou à leur développement. Du matériel pédagogique pourrait être aussi faire partie de cette catégorie de dépenses.</t>
  </si>
  <si>
    <t>#14</t>
  </si>
  <si>
    <t>M14</t>
  </si>
  <si>
    <t>ÉCART au 18/12/31</t>
  </si>
  <si>
    <t xml:space="preserve">Chèque # </t>
  </si>
  <si>
    <t>Chèque #</t>
  </si>
  <si>
    <t>Chèque # 1667</t>
  </si>
  <si>
    <t>Émis le 2019-02-06</t>
  </si>
  <si>
    <t>Émis le</t>
  </si>
  <si>
    <t>ÉCART au 19-12-31</t>
  </si>
  <si>
    <t>ÉCART au 19-03-31</t>
  </si>
  <si>
    <t>PROJET NOVATEUR (APPEL DE PROPOSITIONS 2016): 
CIUSSS/CSMTL CENTRE MULTISERVICES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</si>
</sst>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 #,##0.00_)\ &quot;$&quot;_ ;_ * \(#,##0.00\)\ &quot;$&quot;_ ;_ * &quot;-&quot;??_)\ &quot;$&quot;_ ;_ @_ "/>
    <numFmt numFmtId="164" formatCode="0.0%"/>
  </numFmts>
  <fonts count="4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sz val="12"/>
      <color theme="1"/>
      <name val="Calibri"/>
      <family val="2"/>
    </font>
    <font>
      <b/>
      <sz val="16"/>
      <color theme="1"/>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sz val="8"/>
      <color theme="0"/>
      <name val="Calibri"/>
      <family val="2"/>
      <scheme val="minor"/>
    </font>
    <font>
      <b/>
      <sz val="8"/>
      <color theme="0"/>
      <name val="Calibri"/>
      <family val="2"/>
      <scheme val="minor"/>
    </font>
    <font>
      <sz val="11"/>
      <color theme="0" tint="-0.249977111117893"/>
      <name val="Calibri"/>
      <family val="2"/>
      <scheme val="minor"/>
    </font>
    <font>
      <sz val="8"/>
      <color theme="0" tint="-0.249977111117893"/>
      <name val="Calibri"/>
      <family val="2"/>
      <scheme val="minor"/>
    </font>
    <font>
      <i/>
      <sz val="8"/>
      <color theme="1"/>
      <name val="Calibri"/>
      <family val="2"/>
      <scheme val="minor"/>
    </font>
    <font>
      <b/>
      <i/>
      <sz val="11"/>
      <color theme="1"/>
      <name val="Calibri"/>
      <family val="2"/>
      <scheme val="minor"/>
    </font>
    <font>
      <b/>
      <i/>
      <sz val="8"/>
      <color theme="1"/>
      <name val="Calibri"/>
      <family val="2"/>
      <scheme val="minor"/>
    </font>
    <font>
      <b/>
      <i/>
      <sz val="11"/>
      <color theme="0" tint="-0.249977111117893"/>
      <name val="Calibri"/>
      <family val="2"/>
      <scheme val="minor"/>
    </font>
    <font>
      <b/>
      <sz val="10"/>
      <color theme="1"/>
      <name val="Calibri"/>
      <family val="2"/>
      <scheme val="minor"/>
    </font>
    <font>
      <b/>
      <sz val="8"/>
      <color theme="0" tint="-0.249977111117893"/>
      <name val="Calibri"/>
      <family val="2"/>
      <scheme val="minor"/>
    </font>
    <font>
      <b/>
      <sz val="20"/>
      <color theme="1"/>
      <name val="Calibri"/>
      <family val="2"/>
      <scheme val="minor"/>
    </font>
    <font>
      <b/>
      <sz val="22"/>
      <color theme="1"/>
      <name val="Calibri"/>
      <family val="2"/>
      <scheme val="minor"/>
    </font>
    <font>
      <b/>
      <sz val="20"/>
      <color theme="0"/>
      <name val="Calibri"/>
      <family val="2"/>
      <scheme val="minor"/>
    </font>
    <font>
      <sz val="11"/>
      <color rgb="FFC00000"/>
      <name val="Calibri"/>
      <family val="2"/>
      <scheme val="minor"/>
    </font>
    <font>
      <sz val="9"/>
      <color rgb="FFC00000"/>
      <name val="Calibri"/>
      <family val="2"/>
      <scheme val="minor"/>
    </font>
    <font>
      <sz val="10"/>
      <color rgb="FFC00000"/>
      <name val="Calibri"/>
      <family val="2"/>
      <scheme val="minor"/>
    </font>
    <font>
      <b/>
      <sz val="10"/>
      <color rgb="FFC00000"/>
      <name val="Calibri"/>
      <family val="2"/>
      <scheme val="minor"/>
    </font>
    <font>
      <b/>
      <sz val="8"/>
      <color rgb="FFC00000"/>
      <name val="Calibri"/>
      <family val="2"/>
      <scheme val="minor"/>
    </font>
    <font>
      <b/>
      <sz val="16"/>
      <color rgb="FF92D050"/>
      <name val="Calibri"/>
      <family val="2"/>
      <scheme val="minor"/>
    </font>
    <font>
      <b/>
      <sz val="24"/>
      <color theme="1"/>
      <name val="Calibri"/>
      <family val="2"/>
      <scheme val="minor"/>
    </font>
    <font>
      <sz val="8"/>
      <color rgb="FFC00000"/>
      <name val="Calibri"/>
      <family val="2"/>
      <scheme val="minor"/>
    </font>
    <font>
      <b/>
      <sz val="11"/>
      <color rgb="FFC00000"/>
      <name val="Calibri"/>
      <family val="2"/>
      <scheme val="minor"/>
    </font>
    <font>
      <b/>
      <i/>
      <sz val="11"/>
      <color rgb="FFC00000"/>
      <name val="Calibri"/>
      <family val="2"/>
      <scheme val="minor"/>
    </font>
    <font>
      <b/>
      <sz val="14"/>
      <color theme="0"/>
      <name val="Calibri"/>
      <family val="2"/>
      <scheme val="minor"/>
    </font>
    <font>
      <b/>
      <sz val="12"/>
      <color theme="0"/>
      <name val="Calibri"/>
      <family val="2"/>
      <scheme val="minor"/>
    </font>
    <font>
      <b/>
      <sz val="10"/>
      <color theme="0"/>
      <name val="Calibri"/>
      <family val="2"/>
      <scheme val="minor"/>
    </font>
    <font>
      <b/>
      <i/>
      <sz val="8"/>
      <color theme="0" tint="-0.249977111117893"/>
      <name val="Calibri"/>
      <family val="2"/>
      <scheme val="minor"/>
    </font>
    <font>
      <vertAlign val="superscript"/>
      <sz val="12"/>
      <color theme="1"/>
      <name val="Calibri"/>
      <family val="2"/>
    </font>
    <font>
      <sz val="12"/>
      <color theme="1"/>
      <name val="Calibri"/>
      <family val="2"/>
      <scheme val="minor"/>
    </font>
    <font>
      <sz val="10"/>
      <color rgb="FFFF0000"/>
      <name val="Calibri"/>
      <family val="2"/>
      <scheme val="minor"/>
    </font>
    <font>
      <b/>
      <sz val="16"/>
      <color theme="0"/>
      <name val="Calibri"/>
      <family val="2"/>
      <scheme val="minor"/>
    </font>
  </fonts>
  <fills count="14">
    <fill>
      <patternFill patternType="none"/>
    </fill>
    <fill>
      <patternFill patternType="gray125"/>
    </fill>
    <fill>
      <patternFill patternType="solid">
        <fgColor theme="4"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1"/>
        <bgColor indexed="64"/>
      </patternFill>
    </fill>
    <fill>
      <patternFill patternType="solid">
        <fgColor theme="7"/>
        <bgColor indexed="64"/>
      </patternFill>
    </fill>
    <fill>
      <patternFill patternType="solid">
        <fgColor theme="0" tint="-0.14999847407452621"/>
        <bgColor indexed="64"/>
      </patternFill>
    </fill>
    <fill>
      <patternFill patternType="solid">
        <fgColor rgb="FF7030A0"/>
        <bgColor indexed="64"/>
      </patternFill>
    </fill>
    <fill>
      <patternFill patternType="solid">
        <fgColor theme="4" tint="-0.249977111117893"/>
        <bgColor indexed="64"/>
      </patternFill>
    </fill>
    <fill>
      <patternFill patternType="solid">
        <fgColor rgb="FFFFC000"/>
        <bgColor indexed="64"/>
      </patternFill>
    </fill>
    <fill>
      <patternFill patternType="solid">
        <fgColor theme="4" tint="0.39997558519241921"/>
        <bgColor indexed="64"/>
      </patternFill>
    </fill>
    <fill>
      <patternFill patternType="solid">
        <fgColor theme="0" tint="-4.9989318521683403E-2"/>
        <bgColor indexed="64"/>
      </patternFill>
    </fill>
  </fills>
  <borders count="22">
    <border>
      <left/>
      <right/>
      <top/>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bottom/>
      <diagonal/>
    </border>
    <border>
      <left style="medium">
        <color rgb="FF92D050"/>
      </left>
      <right/>
      <top style="medium">
        <color rgb="FF92D050"/>
      </top>
      <bottom style="medium">
        <color rgb="FF92D050"/>
      </bottom>
      <diagonal/>
    </border>
    <border>
      <left/>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FF0000"/>
      </top>
      <bottom style="medium">
        <color rgb="FFFF0000"/>
      </bottom>
      <diagonal/>
    </border>
    <border>
      <left/>
      <right style="thin">
        <color theme="4" tint="0.39997558519241921"/>
      </right>
      <top/>
      <bottom/>
      <diagonal/>
    </border>
    <border>
      <left style="medium">
        <color theme="4" tint="0.39997558519241921"/>
      </left>
      <right/>
      <top style="medium">
        <color theme="4" tint="0.39997558519241921"/>
      </top>
      <bottom style="medium">
        <color theme="4" tint="0.39997558519241921"/>
      </bottom>
      <diagonal/>
    </border>
    <border>
      <left/>
      <right/>
      <top style="medium">
        <color theme="4" tint="0.39997558519241921"/>
      </top>
      <bottom style="medium">
        <color theme="4" tint="0.39997558519241921"/>
      </bottom>
      <diagonal/>
    </border>
    <border>
      <left/>
      <right style="medium">
        <color theme="4" tint="0.39997558519241921"/>
      </right>
      <top style="medium">
        <color theme="4" tint="0.39997558519241921"/>
      </top>
      <bottom style="medium">
        <color theme="4" tint="0.39997558519241921"/>
      </bottom>
      <diagonal/>
    </border>
    <border>
      <left style="medium">
        <color rgb="FF92D050"/>
      </left>
      <right/>
      <top/>
      <bottom style="medium">
        <color rgb="FF92D050"/>
      </bottom>
      <diagonal/>
    </border>
    <border>
      <left/>
      <right/>
      <top/>
      <bottom style="medium">
        <color rgb="FF92D050"/>
      </bottom>
      <diagonal/>
    </border>
    <border>
      <left/>
      <right style="medium">
        <color rgb="FF92D050"/>
      </right>
      <top/>
      <bottom style="medium">
        <color rgb="FF92D050"/>
      </bottom>
      <diagonal/>
    </border>
    <border>
      <left/>
      <right/>
      <top style="medium">
        <color indexed="64"/>
      </top>
      <bottom/>
      <diagonal/>
    </border>
    <border>
      <left style="thin">
        <color indexed="64"/>
      </left>
      <right/>
      <top style="thin">
        <color indexed="64"/>
      </top>
      <bottom style="double">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9">
    <xf numFmtId="0" fontId="0" fillId="0" borderId="0" xfId="0"/>
    <xf numFmtId="44" fontId="0" fillId="0" borderId="0" xfId="1" applyFont="1"/>
    <xf numFmtId="0" fontId="0" fillId="0" borderId="0" xfId="0" quotePrefix="1"/>
    <xf numFmtId="0" fontId="0" fillId="0" borderId="0" xfId="0" applyAlignment="1">
      <alignment horizontal="center"/>
    </xf>
    <xf numFmtId="44" fontId="3" fillId="0" borderId="0" xfId="1" applyFont="1"/>
    <xf numFmtId="44" fontId="0" fillId="0" borderId="0" xfId="0" applyNumberFormat="1"/>
    <xf numFmtId="0" fontId="0" fillId="0" borderId="0" xfId="0" applyAlignment="1">
      <alignment horizontal="center" vertical="center"/>
    </xf>
    <xf numFmtId="44" fontId="0" fillId="0" borderId="0" xfId="1" applyFont="1" applyAlignment="1">
      <alignment horizontal="center"/>
    </xf>
    <xf numFmtId="44" fontId="3" fillId="0" borderId="0" xfId="1" applyFont="1" applyBorder="1"/>
    <xf numFmtId="0" fontId="4" fillId="0" borderId="0" xfId="0" applyFont="1" applyAlignment="1">
      <alignment horizontal="center"/>
    </xf>
    <xf numFmtId="0" fontId="7" fillId="0" borderId="0" xfId="0" applyFont="1" applyAlignment="1">
      <alignment horizontal="center" vertical="center"/>
    </xf>
    <xf numFmtId="0" fontId="8" fillId="0" borderId="0" xfId="0" applyFont="1" applyAlignment="1">
      <alignment horizontal="justify" vertical="center"/>
    </xf>
    <xf numFmtId="0" fontId="9" fillId="0" borderId="0" xfId="0" applyFont="1"/>
    <xf numFmtId="0" fontId="11" fillId="0" borderId="0" xfId="0" applyFont="1" applyAlignment="1">
      <alignment horizontal="center"/>
    </xf>
    <xf numFmtId="0" fontId="12" fillId="0" borderId="0" xfId="0" applyFont="1" applyAlignment="1">
      <alignment horizontal="center"/>
    </xf>
    <xf numFmtId="0" fontId="11" fillId="0" borderId="0" xfId="0" quotePrefix="1" applyFont="1" applyAlignment="1">
      <alignment horizontal="center"/>
    </xf>
    <xf numFmtId="44" fontId="4" fillId="0" borderId="0" xfId="1" applyFont="1" applyAlignment="1">
      <alignment horizontal="center"/>
    </xf>
    <xf numFmtId="0" fontId="4" fillId="0" borderId="0" xfId="0" applyFont="1"/>
    <xf numFmtId="0" fontId="4" fillId="0" borderId="1" xfId="0" applyFont="1" applyBorder="1"/>
    <xf numFmtId="0" fontId="12" fillId="0" borderId="1" xfId="0" applyFont="1" applyBorder="1" applyAlignment="1">
      <alignment horizontal="center"/>
    </xf>
    <xf numFmtId="0" fontId="4" fillId="0" borderId="1" xfId="0" applyFont="1" applyBorder="1" applyAlignment="1">
      <alignment horizontal="center"/>
    </xf>
    <xf numFmtId="44" fontId="4" fillId="0" borderId="1" xfId="1" applyFont="1" applyBorder="1"/>
    <xf numFmtId="0" fontId="2" fillId="6" borderId="0" xfId="0" applyFont="1" applyFill="1" applyBorder="1"/>
    <xf numFmtId="0" fontId="5" fillId="6" borderId="0" xfId="0" applyFont="1" applyFill="1" applyBorder="1"/>
    <xf numFmtId="0" fontId="13" fillId="6" borderId="0" xfId="0" applyFont="1" applyFill="1" applyBorder="1" applyAlignment="1">
      <alignment horizontal="center"/>
    </xf>
    <xf numFmtId="0" fontId="5" fillId="6" borderId="0" xfId="0" applyFont="1" applyFill="1" applyBorder="1" applyAlignment="1">
      <alignment horizontal="center"/>
    </xf>
    <xf numFmtId="44" fontId="5" fillId="6" borderId="0" xfId="1" applyFont="1" applyFill="1" applyBorder="1"/>
    <xf numFmtId="0" fontId="14" fillId="6" borderId="0" xfId="0" applyFont="1" applyFill="1" applyBorder="1" applyAlignment="1">
      <alignment horizontal="center"/>
    </xf>
    <xf numFmtId="0" fontId="2" fillId="6" borderId="0" xfId="0" applyFont="1" applyFill="1" applyBorder="1" applyAlignment="1">
      <alignment horizontal="center"/>
    </xf>
    <xf numFmtId="44" fontId="2" fillId="6" borderId="0" xfId="1" applyFont="1" applyFill="1" applyBorder="1"/>
    <xf numFmtId="0" fontId="2" fillId="6" borderId="0" xfId="0" applyFont="1" applyFill="1"/>
    <xf numFmtId="0" fontId="14" fillId="6" borderId="0" xfId="0" applyFont="1" applyFill="1" applyAlignment="1">
      <alignment horizontal="center"/>
    </xf>
    <xf numFmtId="0" fontId="2" fillId="6" borderId="0" xfId="0" applyFont="1" applyFill="1" applyAlignment="1">
      <alignment horizontal="center"/>
    </xf>
    <xf numFmtId="44" fontId="2" fillId="6" borderId="0" xfId="1" applyFont="1" applyFill="1"/>
    <xf numFmtId="44" fontId="6" fillId="5" borderId="2" xfId="1" applyFont="1" applyFill="1" applyBorder="1"/>
    <xf numFmtId="0" fontId="0" fillId="0" borderId="0" xfId="0" applyFont="1"/>
    <xf numFmtId="0" fontId="15" fillId="0" borderId="0" xfId="0" applyFont="1"/>
    <xf numFmtId="0" fontId="16" fillId="0" borderId="0" xfId="0" applyFont="1" applyAlignment="1">
      <alignment horizontal="center"/>
    </xf>
    <xf numFmtId="0" fontId="15" fillId="0" borderId="0" xfId="0" applyFont="1" applyAlignment="1">
      <alignment horizontal="center"/>
    </xf>
    <xf numFmtId="0" fontId="0" fillId="0" borderId="0" xfId="1" applyNumberFormat="1" applyFont="1" applyAlignment="1">
      <alignment horizontal="center"/>
    </xf>
    <xf numFmtId="44" fontId="1" fillId="0" borderId="0" xfId="1" applyFont="1"/>
    <xf numFmtId="44" fontId="9" fillId="7" borderId="0" xfId="1" applyFont="1" applyFill="1"/>
    <xf numFmtId="44" fontId="4" fillId="7" borderId="0" xfId="1" applyFont="1" applyFill="1" applyAlignment="1">
      <alignment horizontal="center"/>
    </xf>
    <xf numFmtId="44" fontId="0" fillId="7" borderId="0" xfId="1" applyFont="1" applyFill="1"/>
    <xf numFmtId="44" fontId="3" fillId="7" borderId="0" xfId="1" applyFont="1" applyFill="1" applyBorder="1"/>
    <xf numFmtId="44" fontId="0" fillId="7" borderId="0" xfId="1" applyFont="1" applyFill="1" applyBorder="1"/>
    <xf numFmtId="44" fontId="3" fillId="7" borderId="0" xfId="1" applyFont="1" applyFill="1"/>
    <xf numFmtId="0" fontId="9" fillId="7" borderId="0" xfId="0" applyFont="1" applyFill="1"/>
    <xf numFmtId="0" fontId="4" fillId="7" borderId="0" xfId="0" applyFont="1" applyFill="1"/>
    <xf numFmtId="0" fontId="0" fillId="7" borderId="0" xfId="0" applyFill="1"/>
    <xf numFmtId="0" fontId="17" fillId="0" borderId="0" xfId="0" applyFont="1" applyAlignment="1">
      <alignment horizontal="center"/>
    </xf>
    <xf numFmtId="0" fontId="0" fillId="0" borderId="0" xfId="0" applyFont="1" applyAlignment="1">
      <alignment horizontal="center"/>
    </xf>
    <xf numFmtId="0" fontId="18" fillId="0" borderId="0" xfId="0" applyFont="1"/>
    <xf numFmtId="0" fontId="19" fillId="0" borderId="0" xfId="0" applyFont="1" applyAlignment="1">
      <alignment horizontal="center"/>
    </xf>
    <xf numFmtId="0" fontId="18" fillId="0" borderId="0" xfId="0" applyFont="1" applyAlignment="1">
      <alignment horizontal="center" vertical="center"/>
    </xf>
    <xf numFmtId="0" fontId="18" fillId="0" borderId="0" xfId="0" applyFont="1" applyAlignment="1">
      <alignment horizontal="center"/>
    </xf>
    <xf numFmtId="0" fontId="20" fillId="0" borderId="0" xfId="0" applyFont="1"/>
    <xf numFmtId="0" fontId="20" fillId="0" borderId="0" xfId="0" applyFont="1" applyAlignment="1">
      <alignment horizontal="center"/>
    </xf>
    <xf numFmtId="0" fontId="4" fillId="0" borderId="0" xfId="0" applyFont="1" applyAlignment="1">
      <alignment horizontal="center" vertical="center"/>
    </xf>
    <xf numFmtId="44" fontId="6" fillId="2" borderId="2" xfId="1" applyFont="1" applyFill="1" applyBorder="1"/>
    <xf numFmtId="44" fontId="6" fillId="4" borderId="2" xfId="1" applyFont="1" applyFill="1" applyBorder="1"/>
    <xf numFmtId="0" fontId="8" fillId="0" borderId="0" xfId="0" applyFont="1" applyAlignment="1">
      <alignment vertical="center"/>
    </xf>
    <xf numFmtId="9" fontId="4" fillId="0" borderId="1" xfId="2" applyFont="1" applyBorder="1"/>
    <xf numFmtId="9" fontId="10" fillId="0" borderId="0" xfId="2" applyFont="1"/>
    <xf numFmtId="44" fontId="5" fillId="6" borderId="0" xfId="1" applyFont="1" applyFill="1" applyBorder="1" applyAlignment="1">
      <alignment horizontal="center"/>
    </xf>
    <xf numFmtId="9" fontId="10" fillId="0" borderId="0" xfId="2" applyFont="1" applyAlignment="1">
      <alignment horizontal="center"/>
    </xf>
    <xf numFmtId="9" fontId="4" fillId="0" borderId="1" xfId="2" applyFont="1" applyBorder="1" applyAlignment="1">
      <alignment horizontal="center"/>
    </xf>
    <xf numFmtId="44" fontId="2" fillId="6" borderId="0" xfId="1" applyFont="1" applyFill="1" applyBorder="1" applyAlignment="1">
      <alignment horizontal="center"/>
    </xf>
    <xf numFmtId="44" fontId="3" fillId="0" borderId="0" xfId="1" applyFont="1" applyAlignment="1">
      <alignment horizontal="center"/>
    </xf>
    <xf numFmtId="44" fontId="2" fillId="6" borderId="0" xfId="1" applyFont="1" applyFill="1" applyAlignment="1">
      <alignment horizontal="center"/>
    </xf>
    <xf numFmtId="9" fontId="21" fillId="0" borderId="1" xfId="2" applyFont="1" applyBorder="1" applyAlignment="1">
      <alignment horizontal="center"/>
    </xf>
    <xf numFmtId="0" fontId="22" fillId="0" borderId="0" xfId="0" applyFont="1" applyAlignment="1">
      <alignment horizontal="center"/>
    </xf>
    <xf numFmtId="0" fontId="23" fillId="0" borderId="0" xfId="0" applyFont="1" applyFill="1" applyAlignment="1"/>
    <xf numFmtId="0" fontId="4" fillId="0" borderId="0" xfId="0" applyFont="1" applyAlignment="1">
      <alignment vertical="center"/>
    </xf>
    <xf numFmtId="0" fontId="4" fillId="0" borderId="0" xfId="0" applyFont="1" applyAlignment="1">
      <alignment horizontal="center" vertical="center" wrapText="1"/>
    </xf>
    <xf numFmtId="164" fontId="0" fillId="0" borderId="0" xfId="2" applyNumberFormat="1" applyFont="1"/>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44" fontId="0" fillId="0" borderId="0" xfId="1" applyFont="1" applyBorder="1"/>
    <xf numFmtId="0" fontId="0" fillId="0" borderId="0" xfId="0" applyBorder="1" applyAlignment="1">
      <alignment horizontal="center"/>
    </xf>
    <xf numFmtId="0" fontId="0" fillId="0" borderId="0" xfId="0" applyBorder="1"/>
    <xf numFmtId="44" fontId="0" fillId="0" borderId="0" xfId="0" applyNumberFormat="1" applyBorder="1"/>
    <xf numFmtId="44" fontId="0" fillId="0" borderId="3" xfId="0" applyNumberFormat="1" applyBorder="1"/>
    <xf numFmtId="2" fontId="0" fillId="0" borderId="0" xfId="0" applyNumberFormat="1" applyBorder="1" applyAlignment="1">
      <alignment horizontal="center"/>
    </xf>
    <xf numFmtId="0" fontId="4" fillId="0" borderId="4" xfId="0" applyFont="1" applyBorder="1" applyAlignment="1">
      <alignment horizontal="center" vertical="center"/>
    </xf>
    <xf numFmtId="44" fontId="0" fillId="0" borderId="4" xfId="1" applyFont="1" applyBorder="1"/>
    <xf numFmtId="164" fontId="0" fillId="0" borderId="0" xfId="2" applyNumberFormat="1" applyFont="1" applyBorder="1"/>
    <xf numFmtId="44" fontId="1" fillId="0" borderId="0" xfId="1" applyFont="1" applyBorder="1"/>
    <xf numFmtId="0" fontId="4" fillId="0" borderId="0" xfId="0" applyFont="1" applyBorder="1"/>
    <xf numFmtId="0" fontId="12" fillId="0" borderId="0" xfId="0" applyFont="1" applyBorder="1" applyAlignment="1">
      <alignment horizontal="center"/>
    </xf>
    <xf numFmtId="0" fontId="4" fillId="0" borderId="0" xfId="0" applyFont="1" applyBorder="1" applyAlignment="1">
      <alignment horizontal="center"/>
    </xf>
    <xf numFmtId="44" fontId="4" fillId="0" borderId="0" xfId="1" applyFont="1" applyBorder="1"/>
    <xf numFmtId="9" fontId="21" fillId="0" borderId="0" xfId="2" applyFont="1" applyBorder="1" applyAlignment="1">
      <alignment horizontal="center"/>
    </xf>
    <xf numFmtId="9" fontId="4" fillId="0" borderId="0" xfId="2" applyFont="1" applyBorder="1" applyAlignment="1">
      <alignment horizontal="center"/>
    </xf>
    <xf numFmtId="0" fontId="0" fillId="0" borderId="9" xfId="0" applyBorder="1"/>
    <xf numFmtId="0" fontId="4" fillId="8" borderId="0" xfId="0" applyFont="1" applyFill="1" applyBorder="1"/>
    <xf numFmtId="0" fontId="12" fillId="8" borderId="0" xfId="0" applyFont="1" applyFill="1" applyBorder="1" applyAlignment="1">
      <alignment horizontal="center"/>
    </xf>
    <xf numFmtId="0" fontId="4" fillId="8" borderId="0" xfId="0" applyFont="1" applyFill="1" applyBorder="1" applyAlignment="1">
      <alignment horizontal="center"/>
    </xf>
    <xf numFmtId="44" fontId="4" fillId="8" borderId="0" xfId="1" applyFont="1" applyFill="1" applyBorder="1"/>
    <xf numFmtId="9" fontId="21" fillId="8" borderId="0" xfId="2" applyFont="1" applyFill="1" applyBorder="1" applyAlignment="1">
      <alignment horizontal="center"/>
    </xf>
    <xf numFmtId="9" fontId="4" fillId="8" borderId="0" xfId="2" applyFont="1" applyFill="1" applyBorder="1" applyAlignment="1">
      <alignment horizontal="center"/>
    </xf>
    <xf numFmtId="0" fontId="24" fillId="0" borderId="0" xfId="0" applyFont="1" applyAlignment="1">
      <alignment vertical="center"/>
    </xf>
    <xf numFmtId="0" fontId="0" fillId="0" borderId="0" xfId="0" applyFill="1"/>
    <xf numFmtId="0" fontId="4" fillId="0" borderId="0" xfId="0" applyFont="1" applyAlignment="1">
      <alignment horizontal="center"/>
    </xf>
    <xf numFmtId="0" fontId="0" fillId="0" borderId="0" xfId="0" applyAlignment="1">
      <alignment horizontal="right"/>
    </xf>
    <xf numFmtId="0" fontId="26" fillId="0" borderId="0" xfId="0" applyFont="1" applyAlignment="1">
      <alignment horizontal="center" vertical="center"/>
    </xf>
    <xf numFmtId="0" fontId="10" fillId="0" borderId="0" xfId="0" applyFont="1"/>
    <xf numFmtId="0" fontId="27" fillId="0" borderId="0" xfId="0" applyFont="1"/>
    <xf numFmtId="0" fontId="2" fillId="5" borderId="0" xfId="0" applyFont="1" applyFill="1"/>
    <xf numFmtId="0" fontId="5" fillId="5" borderId="0" xfId="0" applyFont="1" applyFill="1"/>
    <xf numFmtId="0" fontId="13" fillId="5" borderId="0" xfId="0" applyFont="1" applyFill="1" applyAlignment="1">
      <alignment horizontal="center"/>
    </xf>
    <xf numFmtId="0" fontId="5" fillId="5" borderId="0" xfId="0" applyFont="1" applyFill="1" applyAlignment="1">
      <alignment horizontal="center"/>
    </xf>
    <xf numFmtId="44" fontId="5" fillId="5" borderId="0" xfId="1" applyFont="1" applyFill="1"/>
    <xf numFmtId="44" fontId="2" fillId="5" borderId="0" xfId="1" applyFont="1" applyFill="1" applyAlignment="1">
      <alignment horizontal="right"/>
    </xf>
    <xf numFmtId="44" fontId="0" fillId="6" borderId="0" xfId="1" applyFont="1" applyFill="1"/>
    <xf numFmtId="0" fontId="2" fillId="3" borderId="0" xfId="0" applyFont="1" applyFill="1"/>
    <xf numFmtId="44" fontId="5" fillId="3" borderId="0" xfId="1" applyFont="1" applyFill="1"/>
    <xf numFmtId="44" fontId="2" fillId="3" borderId="0" xfId="1" applyFont="1" applyFill="1" applyAlignment="1">
      <alignment horizontal="right"/>
    </xf>
    <xf numFmtId="44" fontId="10" fillId="0" borderId="0" xfId="1" applyFont="1"/>
    <xf numFmtId="44" fontId="28" fillId="0" borderId="0" xfId="1" applyFont="1"/>
    <xf numFmtId="44" fontId="29" fillId="0" borderId="0" xfId="1" applyFont="1"/>
    <xf numFmtId="0" fontId="26" fillId="0" borderId="0" xfId="0" applyFont="1" applyAlignment="1">
      <alignment horizontal="center"/>
    </xf>
    <xf numFmtId="44" fontId="28" fillId="0" borderId="0" xfId="1" applyFont="1" applyAlignment="1">
      <alignment horizontal="center"/>
    </xf>
    <xf numFmtId="44" fontId="28" fillId="0" borderId="0" xfId="1" applyFont="1" applyAlignment="1"/>
    <xf numFmtId="44" fontId="28" fillId="0" borderId="0" xfId="1" applyFont="1" applyBorder="1" applyAlignment="1">
      <alignment horizontal="center"/>
    </xf>
    <xf numFmtId="44" fontId="28" fillId="0" borderId="0" xfId="1" applyFont="1" applyBorder="1"/>
    <xf numFmtId="0" fontId="30" fillId="0" borderId="0" xfId="0" applyFont="1"/>
    <xf numFmtId="44" fontId="30" fillId="0" borderId="0" xfId="1" applyFont="1"/>
    <xf numFmtId="0" fontId="0" fillId="6" borderId="0" xfId="0" applyFill="1"/>
    <xf numFmtId="0" fontId="0" fillId="11" borderId="0" xfId="0" applyFill="1"/>
    <xf numFmtId="44" fontId="0" fillId="11" borderId="0" xfId="1" applyFont="1" applyFill="1"/>
    <xf numFmtId="0" fontId="0" fillId="0" borderId="4" xfId="0" applyBorder="1"/>
    <xf numFmtId="0" fontId="0" fillId="6" borderId="4" xfId="0" applyFill="1" applyBorder="1"/>
    <xf numFmtId="0" fontId="0" fillId="6" borderId="0" xfId="0" applyFill="1" applyBorder="1"/>
    <xf numFmtId="9" fontId="10" fillId="0" borderId="0" xfId="2" applyFont="1" applyBorder="1" applyAlignment="1">
      <alignment horizontal="center"/>
    </xf>
    <xf numFmtId="9" fontId="6" fillId="5" borderId="2" xfId="2" applyFont="1" applyFill="1" applyBorder="1" applyAlignment="1">
      <alignment horizontal="center"/>
    </xf>
    <xf numFmtId="9" fontId="10" fillId="0" borderId="1" xfId="2" applyFont="1" applyBorder="1" applyAlignment="1">
      <alignment horizontal="center"/>
    </xf>
    <xf numFmtId="0" fontId="4" fillId="0" borderId="4" xfId="0" applyFont="1" applyBorder="1" applyAlignment="1">
      <alignment horizontal="center"/>
    </xf>
    <xf numFmtId="44" fontId="4" fillId="0" borderId="0" xfId="1" applyFont="1" applyFill="1" applyBorder="1" applyAlignment="1">
      <alignment horizontal="center"/>
    </xf>
    <xf numFmtId="44" fontId="0" fillId="0" borderId="1" xfId="1" applyFont="1" applyBorder="1"/>
    <xf numFmtId="44" fontId="0" fillId="0" borderId="4" xfId="0" applyNumberFormat="1" applyBorder="1"/>
    <xf numFmtId="44" fontId="4" fillId="0" borderId="17" xfId="2" applyNumberFormat="1" applyFont="1" applyBorder="1" applyAlignment="1">
      <alignment horizontal="center"/>
    </xf>
    <xf numFmtId="44" fontId="33" fillId="0" borderId="0" xfId="1" applyFont="1" applyAlignment="1">
      <alignment horizontal="center"/>
    </xf>
    <xf numFmtId="44" fontId="26" fillId="0" borderId="0" xfId="1" applyFont="1"/>
    <xf numFmtId="14" fontId="0" fillId="0" borderId="0" xfId="1" applyNumberFormat="1" applyFont="1" applyAlignment="1"/>
    <xf numFmtId="0" fontId="26" fillId="0" borderId="0" xfId="0" quotePrefix="1" applyFont="1"/>
    <xf numFmtId="14" fontId="0" fillId="0" borderId="0" xfId="0" applyNumberFormat="1" applyFont="1" applyBorder="1" applyAlignment="1">
      <alignment horizontal="left"/>
    </xf>
    <xf numFmtId="44" fontId="0" fillId="11" borderId="0" xfId="1" applyFont="1" applyFill="1" applyAlignment="1">
      <alignment horizontal="center"/>
    </xf>
    <xf numFmtId="44" fontId="26" fillId="0" borderId="0" xfId="1" applyFont="1" applyBorder="1"/>
    <xf numFmtId="0" fontId="2" fillId="12" borderId="0" xfId="0" applyFont="1" applyFill="1"/>
    <xf numFmtId="44" fontId="5" fillId="12" borderId="0" xfId="1" applyFont="1" applyFill="1"/>
    <xf numFmtId="44" fontId="2" fillId="12" borderId="0" xfId="1" applyFont="1" applyFill="1" applyAlignment="1">
      <alignment horizontal="right"/>
    </xf>
    <xf numFmtId="0" fontId="0" fillId="0" borderId="0" xfId="0" applyFont="1" applyAlignment="1">
      <alignment horizontal="center" vertical="center"/>
    </xf>
    <xf numFmtId="0" fontId="35" fillId="0" borderId="0" xfId="0" applyFont="1" applyAlignment="1">
      <alignment horizontal="center" vertical="center"/>
    </xf>
    <xf numFmtId="9" fontId="21" fillId="5" borderId="2" xfId="2" applyFont="1" applyFill="1" applyBorder="1" applyAlignment="1">
      <alignment horizontal="center"/>
    </xf>
    <xf numFmtId="9" fontId="21" fillId="2" borderId="2" xfId="2" applyFont="1" applyFill="1" applyBorder="1"/>
    <xf numFmtId="44" fontId="37" fillId="3" borderId="2" xfId="1" applyFont="1" applyFill="1" applyBorder="1"/>
    <xf numFmtId="9" fontId="38" fillId="3" borderId="2" xfId="2" applyFont="1" applyFill="1" applyBorder="1"/>
    <xf numFmtId="9" fontId="4" fillId="4" borderId="2" xfId="2" applyFont="1" applyFill="1" applyBorder="1"/>
    <xf numFmtId="0" fontId="4" fillId="0" borderId="0" xfId="0" applyFont="1" applyAlignment="1">
      <alignment horizontal="center"/>
    </xf>
    <xf numFmtId="0" fontId="0" fillId="0" borderId="0" xfId="0" applyFill="1" applyBorder="1"/>
    <xf numFmtId="0" fontId="0" fillId="0" borderId="0" xfId="0" applyFill="1" applyBorder="1" applyAlignment="1">
      <alignment horizontal="center"/>
    </xf>
    <xf numFmtId="0" fontId="4" fillId="0" borderId="0" xfId="0" applyFont="1" applyFill="1" applyBorder="1" applyAlignment="1">
      <alignment horizontal="center"/>
    </xf>
    <xf numFmtId="0" fontId="18" fillId="13" borderId="0" xfId="0" applyFont="1" applyFill="1" applyAlignment="1">
      <alignment horizontal="center" vertical="center"/>
    </xf>
    <xf numFmtId="0" fontId="4" fillId="13" borderId="0" xfId="0" applyFont="1" applyFill="1" applyBorder="1" applyAlignment="1">
      <alignment horizontal="center" vertical="top"/>
    </xf>
    <xf numFmtId="0" fontId="4" fillId="13" borderId="0" xfId="0" applyFont="1" applyFill="1" applyBorder="1" applyAlignment="1">
      <alignment horizontal="center"/>
    </xf>
    <xf numFmtId="0" fontId="39" fillId="0" borderId="0" xfId="0" applyFont="1" applyAlignment="1">
      <alignment horizontal="center"/>
    </xf>
    <xf numFmtId="0" fontId="0" fillId="0" borderId="1" xfId="1" applyNumberFormat="1" applyFont="1" applyBorder="1"/>
    <xf numFmtId="9" fontId="6" fillId="5" borderId="2" xfId="2" applyFont="1" applyFill="1" applyBorder="1"/>
    <xf numFmtId="9" fontId="10" fillId="0" borderId="3" xfId="2" applyFont="1" applyBorder="1" applyAlignment="1">
      <alignment horizontal="center"/>
    </xf>
    <xf numFmtId="44" fontId="10" fillId="0" borderId="0" xfId="1" applyFont="1" applyAlignment="1">
      <alignment horizontal="center"/>
    </xf>
    <xf numFmtId="44" fontId="7" fillId="0" borderId="16" xfId="1" applyFont="1" applyFill="1" applyBorder="1" applyAlignment="1">
      <alignment vertical="center"/>
    </xf>
    <xf numFmtId="44" fontId="7" fillId="0" borderId="0" xfId="1" applyFont="1" applyFill="1" applyBorder="1" applyAlignment="1">
      <alignment vertical="center"/>
    </xf>
    <xf numFmtId="44" fontId="41" fillId="0" borderId="16" xfId="1" applyFont="1" applyFill="1" applyBorder="1" applyAlignment="1">
      <alignment vertical="center"/>
    </xf>
    <xf numFmtId="44" fontId="41" fillId="0" borderId="0" xfId="1" applyFont="1" applyFill="1" applyBorder="1" applyAlignment="1">
      <alignment vertical="center"/>
    </xf>
    <xf numFmtId="0" fontId="4" fillId="0" borderId="0" xfId="0" applyFont="1" applyAlignment="1">
      <alignment horizontal="center"/>
    </xf>
    <xf numFmtId="0" fontId="24" fillId="0" borderId="0" xfId="0" applyFont="1" applyAlignment="1">
      <alignment horizontal="center" vertical="center"/>
    </xf>
    <xf numFmtId="0" fontId="25" fillId="10" borderId="0" xfId="0" applyFont="1" applyFill="1" applyAlignment="1">
      <alignment horizontal="center"/>
    </xf>
    <xf numFmtId="0" fontId="4" fillId="5" borderId="13" xfId="0" applyFont="1" applyFill="1" applyBorder="1" applyAlignment="1">
      <alignment horizontal="center"/>
    </xf>
    <xf numFmtId="0" fontId="0" fillId="5" borderId="14" xfId="0" applyFill="1" applyBorder="1" applyAlignment="1">
      <alignment horizontal="center"/>
    </xf>
    <xf numFmtId="0" fontId="0" fillId="5" borderId="15" xfId="0" applyFill="1" applyBorder="1" applyAlignment="1">
      <alignment horizontal="center"/>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 xfId="0" applyFill="1" applyBorder="1" applyAlignment="1">
      <alignment horizontal="center"/>
    </xf>
    <xf numFmtId="0" fontId="4" fillId="2" borderId="0" xfId="0" applyFont="1" applyFill="1" applyAlignment="1">
      <alignment horizontal="center"/>
    </xf>
    <xf numFmtId="0" fontId="0" fillId="2" borderId="0" xfId="0" applyFill="1" applyAlignment="1">
      <alignment horizontal="center"/>
    </xf>
    <xf numFmtId="44" fontId="0" fillId="0" borderId="5" xfId="1" applyFont="1" applyBorder="1" applyAlignment="1">
      <alignment horizontal="center"/>
    </xf>
    <xf numFmtId="44" fontId="0" fillId="0" borderId="6" xfId="1" applyFont="1" applyBorder="1" applyAlignment="1">
      <alignment horizontal="center"/>
    </xf>
    <xf numFmtId="44" fontId="0" fillId="0" borderId="7" xfId="1" applyFont="1" applyBorder="1" applyAlignment="1">
      <alignment horizontal="center"/>
    </xf>
    <xf numFmtId="44" fontId="0" fillId="0" borderId="8" xfId="1" applyFont="1" applyBorder="1" applyAlignment="1">
      <alignment horizontal="center"/>
    </xf>
    <xf numFmtId="44" fontId="0" fillId="0" borderId="10" xfId="1" applyFont="1" applyBorder="1" applyAlignment="1">
      <alignment horizontal="center"/>
    </xf>
    <xf numFmtId="44" fontId="0" fillId="0" borderId="11" xfId="1" applyFont="1" applyBorder="1" applyAlignment="1">
      <alignment horizontal="center"/>
    </xf>
    <xf numFmtId="44" fontId="0" fillId="0" borderId="12" xfId="1" applyFont="1" applyBorder="1" applyAlignment="1">
      <alignment horizontal="center"/>
    </xf>
    <xf numFmtId="0" fontId="25" fillId="9" borderId="0" xfId="0" applyFont="1" applyFill="1" applyAlignment="1">
      <alignment horizontal="center"/>
    </xf>
    <xf numFmtId="14" fontId="0" fillId="0" borderId="0" xfId="1" applyNumberFormat="1" applyFont="1" applyAlignment="1">
      <alignment horizontal="right"/>
    </xf>
    <xf numFmtId="0" fontId="4" fillId="0" borderId="0" xfId="0" applyFont="1" applyAlignment="1">
      <alignment horizontal="center"/>
    </xf>
    <xf numFmtId="14" fontId="0" fillId="0" borderId="16" xfId="0" applyNumberFormat="1" applyFont="1" applyBorder="1" applyAlignment="1">
      <alignment horizontal="left"/>
    </xf>
    <xf numFmtId="0" fontId="23" fillId="4" borderId="0" xfId="0" applyFont="1" applyFill="1" applyAlignment="1">
      <alignment horizontal="center"/>
    </xf>
    <xf numFmtId="0" fontId="9" fillId="3" borderId="0" xfId="0" applyFont="1" applyFill="1" applyAlignment="1">
      <alignment horizontal="center"/>
    </xf>
    <xf numFmtId="0" fontId="9" fillId="5" borderId="0" xfId="0" applyFont="1" applyFill="1" applyAlignment="1">
      <alignment horizontal="center"/>
    </xf>
    <xf numFmtId="0" fontId="7" fillId="5" borderId="2" xfId="0" applyFont="1" applyFill="1" applyBorder="1" applyAlignment="1">
      <alignment horizontal="right"/>
    </xf>
    <xf numFmtId="0" fontId="36" fillId="3" borderId="2" xfId="0" applyFont="1" applyFill="1" applyBorder="1" applyAlignment="1">
      <alignment horizontal="right"/>
    </xf>
    <xf numFmtId="0" fontId="7" fillId="2" borderId="2" xfId="0" applyFont="1" applyFill="1" applyBorder="1" applyAlignment="1">
      <alignment horizontal="right"/>
    </xf>
    <xf numFmtId="0" fontId="7" fillId="4" borderId="2" xfId="0" applyFont="1" applyFill="1" applyBorder="1" applyAlignment="1">
      <alignment horizontal="right"/>
    </xf>
    <xf numFmtId="0" fontId="9" fillId="4" borderId="0" xfId="0" applyFont="1" applyFill="1" applyAlignment="1">
      <alignment horizontal="center"/>
    </xf>
    <xf numFmtId="0" fontId="9" fillId="2" borderId="0" xfId="0" applyFont="1" applyFill="1" applyAlignment="1">
      <alignment horizontal="center"/>
    </xf>
    <xf numFmtId="44" fontId="0" fillId="0" borderId="0" xfId="1" applyFont="1" applyAlignment="1">
      <alignment horizontal="right"/>
    </xf>
    <xf numFmtId="0" fontId="32" fillId="0" borderId="0" xfId="0" applyFont="1" applyAlignment="1">
      <alignment horizontal="center" vertical="center" wrapText="1"/>
    </xf>
    <xf numFmtId="0" fontId="31" fillId="0" borderId="19" xfId="0" applyFont="1" applyBorder="1" applyAlignment="1">
      <alignment horizontal="center"/>
    </xf>
    <xf numFmtId="0" fontId="31" fillId="0" borderId="18" xfId="0" applyFont="1" applyBorder="1" applyAlignment="1">
      <alignment horizontal="center"/>
    </xf>
    <xf numFmtId="0" fontId="31" fillId="0" borderId="20" xfId="0" applyFont="1" applyBorder="1" applyAlignment="1">
      <alignment horizontal="center"/>
    </xf>
    <xf numFmtId="0" fontId="7" fillId="4" borderId="0" xfId="0" applyFont="1" applyFill="1" applyAlignment="1">
      <alignment horizontal="right" vertical="center"/>
    </xf>
    <xf numFmtId="44" fontId="7" fillId="4" borderId="16" xfId="1" applyFont="1" applyFill="1" applyBorder="1" applyAlignment="1">
      <alignment horizontal="center" vertical="center"/>
    </xf>
    <xf numFmtId="44" fontId="7" fillId="4" borderId="0" xfId="1" applyFont="1" applyFill="1" applyBorder="1" applyAlignment="1">
      <alignment horizontal="center" vertical="center"/>
    </xf>
    <xf numFmtId="9" fontId="6" fillId="4" borderId="21" xfId="2" applyFont="1" applyFill="1" applyBorder="1" applyAlignment="1">
      <alignment horizontal="center" vertical="center"/>
    </xf>
    <xf numFmtId="9" fontId="6" fillId="4" borderId="3" xfId="2" applyFont="1" applyFill="1" applyBorder="1" applyAlignment="1">
      <alignment horizontal="center" vertical="center"/>
    </xf>
    <xf numFmtId="0" fontId="32" fillId="0" borderId="0" xfId="0" applyFont="1" applyAlignment="1">
      <alignment vertical="center" wrapText="1"/>
    </xf>
    <xf numFmtId="9" fontId="42" fillId="0" borderId="0" xfId="2" applyFont="1" applyAlignment="1">
      <alignment horizontal="center"/>
    </xf>
    <xf numFmtId="44" fontId="5" fillId="3" borderId="0" xfId="1" applyFont="1" applyFill="1" applyAlignment="1">
      <alignment horizontal="center"/>
    </xf>
    <xf numFmtId="0" fontId="42" fillId="0" borderId="0" xfId="1" applyNumberFormat="1" applyFont="1" applyAlignment="1">
      <alignment horizontal="center"/>
    </xf>
    <xf numFmtId="9" fontId="37" fillId="3" borderId="2" xfId="2" applyFont="1" applyFill="1" applyBorder="1"/>
    <xf numFmtId="9" fontId="2" fillId="3" borderId="2" xfId="2" applyFont="1" applyFill="1" applyBorder="1"/>
    <xf numFmtId="0" fontId="18" fillId="13" borderId="0" xfId="0" applyFont="1" applyFill="1" applyAlignment="1">
      <alignment horizontal="center"/>
    </xf>
    <xf numFmtId="0" fontId="4" fillId="13" borderId="0" xfId="0" applyFont="1" applyFill="1" applyAlignment="1">
      <alignment horizontal="center"/>
    </xf>
    <xf numFmtId="44" fontId="18" fillId="0" borderId="4" xfId="0" applyNumberFormat="1" applyFont="1" applyBorder="1" applyAlignment="1">
      <alignment horizontal="center"/>
    </xf>
    <xf numFmtId="44" fontId="6" fillId="3" borderId="2" xfId="1" applyFont="1" applyFill="1" applyBorder="1"/>
    <xf numFmtId="9" fontId="37" fillId="3" borderId="2" xfId="2" applyFont="1" applyFill="1" applyBorder="1" applyAlignment="1">
      <alignment horizontal="center"/>
    </xf>
    <xf numFmtId="0" fontId="43" fillId="3" borderId="0" xfId="0" applyFont="1" applyFill="1" applyAlignment="1">
      <alignment horizontal="center"/>
    </xf>
  </cellXfs>
  <cellStyles count="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1</xdr:row>
      <xdr:rowOff>9525</xdr:rowOff>
    </xdr:from>
    <xdr:to>
      <xdr:col>5</xdr:col>
      <xdr:colOff>723901</xdr:colOff>
      <xdr:row>17</xdr:row>
      <xdr:rowOff>106371</xdr:rowOff>
    </xdr:to>
    <xdr:pic>
      <xdr:nvPicPr>
        <xdr:cNvPr id="2"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1" y="200025"/>
          <a:ext cx="4457700" cy="3144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200025</xdr:colOff>
      <xdr:row>1</xdr:row>
      <xdr:rowOff>57150</xdr:rowOff>
    </xdr:from>
    <xdr:to>
      <xdr:col>12</xdr:col>
      <xdr:colOff>400050</xdr:colOff>
      <xdr:row>17</xdr:row>
      <xdr:rowOff>104775</xdr:rowOff>
    </xdr:to>
    <xdr:grpSp>
      <xdr:nvGrpSpPr>
        <xdr:cNvPr id="6" name="Groupe 5"/>
        <xdr:cNvGrpSpPr/>
      </xdr:nvGrpSpPr>
      <xdr:grpSpPr>
        <a:xfrm>
          <a:off x="4772025" y="247650"/>
          <a:ext cx="4772025" cy="3095625"/>
          <a:chOff x="6858000" y="571500"/>
          <a:chExt cx="4410075" cy="2847975"/>
        </a:xfrm>
      </xdr:grpSpPr>
      <xdr:pic>
        <xdr:nvPicPr>
          <xdr:cNvPr id="4" name="Imag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1980"/>
          <a:stretch/>
        </xdr:blipFill>
        <xdr:spPr bwMode="auto">
          <a:xfrm>
            <a:off x="6858000" y="571500"/>
            <a:ext cx="2200275" cy="282892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00" y="571500"/>
            <a:ext cx="2124075" cy="28479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13</xdr:col>
      <xdr:colOff>1</xdr:colOff>
      <xdr:row>2</xdr:row>
      <xdr:rowOff>1</xdr:rowOff>
    </xdr:from>
    <xdr:to>
      <xdr:col>16</xdr:col>
      <xdr:colOff>27817</xdr:colOff>
      <xdr:row>17</xdr:row>
      <xdr:rowOff>104775</xdr:rowOff>
    </xdr:to>
    <xdr:pic>
      <xdr:nvPicPr>
        <xdr:cNvPr id="7" name="Image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06001" y="381001"/>
          <a:ext cx="2313816" cy="2962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239129</xdr:colOff>
      <xdr:row>18</xdr:row>
      <xdr:rowOff>38100</xdr:rowOff>
    </xdr:from>
    <xdr:to>
      <xdr:col>6</xdr:col>
      <xdr:colOff>161925</xdr:colOff>
      <xdr:row>37</xdr:row>
      <xdr:rowOff>47625</xdr:rowOff>
    </xdr:to>
    <xdr:pic>
      <xdr:nvPicPr>
        <xdr:cNvPr id="11" name="Image 10"/>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9129" y="3467100"/>
          <a:ext cx="4494796"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2</xdr:col>
      <xdr:colOff>508320</xdr:colOff>
      <xdr:row>2</xdr:row>
      <xdr:rowOff>49225</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8575"/>
          <a:ext cx="755970" cy="877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517845</xdr:colOff>
      <xdr:row>2</xdr:row>
      <xdr:rowOff>39700</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755970" cy="877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3</xdr:col>
      <xdr:colOff>508265</xdr:colOff>
      <xdr:row>3</xdr:row>
      <xdr:rowOff>9524</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38099"/>
          <a:ext cx="746390" cy="866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3</xdr:col>
      <xdr:colOff>517845</xdr:colOff>
      <xdr:row>3</xdr:row>
      <xdr:rowOff>1600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0"/>
          <a:ext cx="755970" cy="877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1</xdr:rowOff>
    </xdr:from>
    <xdr:to>
      <xdr:col>3</xdr:col>
      <xdr:colOff>517845</xdr:colOff>
      <xdr:row>3</xdr:row>
      <xdr:rowOff>1</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
          <a:ext cx="755970" cy="8763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topLeftCell="A16" zoomScale="130" zoomScaleNormal="130" workbookViewId="0">
      <selection activeCell="G41" sqref="G41"/>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35"/>
  <sheetViews>
    <sheetView topLeftCell="A5" workbookViewId="0">
      <selection activeCell="I23" sqref="I23"/>
    </sheetView>
  </sheetViews>
  <sheetFormatPr baseColWidth="10" defaultRowHeight="15" x14ac:dyDescent="0.25"/>
  <cols>
    <col min="1" max="2" width="1.85546875" customWidth="1"/>
    <col min="3" max="3" width="41.28515625" customWidth="1"/>
    <col min="4" max="4" width="11.42578125" customWidth="1"/>
    <col min="5" max="5" width="11.28515625" style="3" customWidth="1"/>
    <col min="6" max="6" width="9.5703125" customWidth="1"/>
    <col min="7" max="8" width="10.42578125" customWidth="1"/>
    <col min="9" max="9" width="9.5703125" customWidth="1"/>
    <col min="10" max="11" width="8.5703125" customWidth="1"/>
    <col min="12" max="15" width="10.28515625" customWidth="1"/>
    <col min="16" max="16" width="8.5703125" customWidth="1"/>
    <col min="17" max="17" width="9.42578125" customWidth="1"/>
    <col min="18" max="21" width="10.28515625" customWidth="1"/>
  </cols>
  <sheetData>
    <row r="1" spans="1:21" ht="41.25" customHeight="1" x14ac:dyDescent="0.25">
      <c r="A1" s="177" t="s">
        <v>111</v>
      </c>
      <c r="B1" s="177"/>
      <c r="C1" s="177"/>
      <c r="D1" s="177"/>
      <c r="E1" s="177"/>
      <c r="F1" s="177"/>
      <c r="G1" s="177"/>
      <c r="H1" s="177"/>
      <c r="I1" s="177"/>
      <c r="J1" s="177"/>
      <c r="K1" s="177"/>
      <c r="L1" s="177"/>
      <c r="M1" s="177"/>
      <c r="N1" s="177"/>
      <c r="O1" s="177"/>
      <c r="P1" s="177"/>
      <c r="Q1" s="177"/>
      <c r="R1" s="177"/>
      <c r="S1" s="177"/>
      <c r="T1" s="177"/>
      <c r="U1" s="177"/>
    </row>
    <row r="2" spans="1:21" ht="26.25" x14ac:dyDescent="0.4">
      <c r="A2" s="178" t="s">
        <v>114</v>
      </c>
      <c r="B2" s="178"/>
      <c r="C2" s="178"/>
      <c r="D2" s="178"/>
      <c r="E2" s="178"/>
      <c r="F2" s="178"/>
      <c r="G2" s="178"/>
      <c r="H2" s="178"/>
      <c r="I2" s="178"/>
      <c r="J2" s="178"/>
      <c r="K2" s="178"/>
      <c r="L2" s="178"/>
      <c r="M2" s="178"/>
      <c r="N2" s="178"/>
      <c r="O2" s="178"/>
      <c r="P2" s="178"/>
      <c r="Q2" s="178"/>
      <c r="R2" s="178"/>
      <c r="S2" s="178"/>
      <c r="T2" s="178"/>
      <c r="U2" s="178"/>
    </row>
    <row r="3" spans="1:21" ht="4.5" customHeight="1" thickBot="1" x14ac:dyDescent="0.3"/>
    <row r="4" spans="1:21" ht="15.75" thickBot="1" x14ac:dyDescent="0.3">
      <c r="B4" s="17" t="s">
        <v>108</v>
      </c>
      <c r="D4" s="187">
        <v>50000</v>
      </c>
      <c r="E4" s="188"/>
      <c r="F4" s="188"/>
      <c r="G4" s="188"/>
      <c r="H4" s="188"/>
      <c r="I4" s="189"/>
      <c r="J4" s="190">
        <v>50000</v>
      </c>
      <c r="K4" s="190"/>
      <c r="L4" s="190"/>
      <c r="M4" s="190"/>
      <c r="N4" s="190"/>
      <c r="O4" s="190"/>
      <c r="P4" s="191">
        <v>50000</v>
      </c>
      <c r="Q4" s="192"/>
      <c r="R4" s="192"/>
      <c r="S4" s="192"/>
      <c r="T4" s="192"/>
      <c r="U4" s="193"/>
    </row>
    <row r="5" spans="1:21" ht="15.75" thickBot="1" x14ac:dyDescent="0.3">
      <c r="D5" s="179" t="s">
        <v>47</v>
      </c>
      <c r="E5" s="180"/>
      <c r="F5" s="180"/>
      <c r="G5" s="180"/>
      <c r="H5" s="180"/>
      <c r="I5" s="181"/>
      <c r="J5" s="182" t="s">
        <v>58</v>
      </c>
      <c r="K5" s="183"/>
      <c r="L5" s="183"/>
      <c r="M5" s="183"/>
      <c r="N5" s="183"/>
      <c r="O5" s="184"/>
      <c r="P5" s="185" t="s">
        <v>83</v>
      </c>
      <c r="Q5" s="186"/>
      <c r="R5" s="186"/>
      <c r="S5" s="186"/>
      <c r="T5" s="186"/>
      <c r="U5" s="186"/>
    </row>
    <row r="6" spans="1:21" s="17" customFormat="1" ht="30" x14ac:dyDescent="0.25">
      <c r="B6" s="73" t="s">
        <v>95</v>
      </c>
      <c r="C6" s="73"/>
      <c r="D6" s="76" t="s">
        <v>28</v>
      </c>
      <c r="E6" s="77" t="s">
        <v>100</v>
      </c>
      <c r="F6" s="76" t="s">
        <v>29</v>
      </c>
      <c r="G6" s="77" t="s">
        <v>96</v>
      </c>
      <c r="H6" s="77" t="s">
        <v>97</v>
      </c>
      <c r="I6" s="78" t="s">
        <v>102</v>
      </c>
      <c r="J6" s="85" t="s">
        <v>28</v>
      </c>
      <c r="K6" s="77" t="s">
        <v>100</v>
      </c>
      <c r="L6" s="76" t="s">
        <v>29</v>
      </c>
      <c r="M6" s="77" t="s">
        <v>96</v>
      </c>
      <c r="N6" s="77" t="s">
        <v>97</v>
      </c>
      <c r="O6" s="78" t="s">
        <v>102</v>
      </c>
      <c r="P6" s="58" t="s">
        <v>28</v>
      </c>
      <c r="Q6" s="74" t="s">
        <v>100</v>
      </c>
      <c r="R6" s="58" t="s">
        <v>29</v>
      </c>
      <c r="S6" s="74" t="s">
        <v>96</v>
      </c>
      <c r="T6" s="74" t="s">
        <v>97</v>
      </c>
      <c r="U6" s="74" t="s">
        <v>102</v>
      </c>
    </row>
    <row r="7" spans="1:21" x14ac:dyDescent="0.25">
      <c r="C7" t="s">
        <v>2</v>
      </c>
      <c r="D7" s="79">
        <v>33.92</v>
      </c>
      <c r="E7" s="80">
        <v>7.75</v>
      </c>
      <c r="F7" s="79">
        <f>E7*D7</f>
        <v>262.88</v>
      </c>
      <c r="G7" s="81"/>
      <c r="H7" s="81">
        <v>0</v>
      </c>
      <c r="I7" s="83">
        <f>D7+G7+H7</f>
        <v>33.92</v>
      </c>
      <c r="J7" s="79">
        <f>D7*(1+N7)</f>
        <v>34.598400000000005</v>
      </c>
      <c r="K7" s="80">
        <v>7.75</v>
      </c>
      <c r="L7" s="79">
        <f>K7*J7</f>
        <v>268.13760000000002</v>
      </c>
      <c r="M7" s="81"/>
      <c r="N7" s="87">
        <v>0.02</v>
      </c>
      <c r="O7" s="83">
        <f>J7+M7</f>
        <v>34.598400000000005</v>
      </c>
      <c r="P7" s="79">
        <f>J7*(1+T7)</f>
        <v>35.290368000000008</v>
      </c>
      <c r="Q7" s="80">
        <v>7.75</v>
      </c>
      <c r="R7" s="79">
        <f>Q7*P7</f>
        <v>273.50035200000008</v>
      </c>
      <c r="T7" s="75">
        <v>0.02</v>
      </c>
      <c r="U7" s="83">
        <f>P7+S7</f>
        <v>35.290368000000008</v>
      </c>
    </row>
    <row r="8" spans="1:21" x14ac:dyDescent="0.25">
      <c r="C8" t="s">
        <v>3</v>
      </c>
      <c r="D8" s="79">
        <v>21.83</v>
      </c>
      <c r="E8" s="80"/>
      <c r="F8" s="81"/>
      <c r="G8" s="82">
        <f>D8*0.18987</f>
        <v>4.1448621000000001</v>
      </c>
      <c r="H8" s="81">
        <v>0</v>
      </c>
      <c r="I8" s="83">
        <f>D8+G8+H8</f>
        <v>25.974862099999999</v>
      </c>
      <c r="J8" s="86">
        <f>D8*(1+N8)</f>
        <v>22.2666</v>
      </c>
      <c r="K8" s="80"/>
      <c r="L8" s="81"/>
      <c r="M8" s="82">
        <f>J8*0.18987</f>
        <v>4.2277593420000006</v>
      </c>
      <c r="N8" s="87">
        <v>0.02</v>
      </c>
      <c r="O8" s="83">
        <f>J8+M8</f>
        <v>26.494359342000003</v>
      </c>
      <c r="P8" s="1">
        <f>J8*(1+T8)*(1+T8)</f>
        <v>23.166170640000001</v>
      </c>
      <c r="Q8" s="3"/>
      <c r="S8" s="5">
        <f>P8*0.18987</f>
        <v>4.3985608194168</v>
      </c>
      <c r="T8" s="75">
        <v>0.02</v>
      </c>
      <c r="U8" s="5">
        <f>P8+S8+T8</f>
        <v>27.584731459416801</v>
      </c>
    </row>
    <row r="9" spans="1:21" x14ac:dyDescent="0.25">
      <c r="C9" t="s">
        <v>9</v>
      </c>
      <c r="D9" s="79">
        <v>21.76</v>
      </c>
      <c r="E9" s="84">
        <v>7.75</v>
      </c>
      <c r="F9" s="79">
        <f>D9*E9</f>
        <v>168.64000000000001</v>
      </c>
      <c r="G9" s="81"/>
      <c r="H9" s="81">
        <v>0</v>
      </c>
      <c r="I9" s="83">
        <f t="shared" ref="I9:I10" si="0">D9+G9+H9</f>
        <v>21.76</v>
      </c>
      <c r="J9" s="79">
        <f t="shared" ref="J9:J10" si="1">D9*(1+N9)</f>
        <v>22.195200000000003</v>
      </c>
      <c r="K9" s="80">
        <v>7.75</v>
      </c>
      <c r="L9" s="79">
        <f t="shared" ref="L9:L10" si="2">K9*J9</f>
        <v>172.01280000000003</v>
      </c>
      <c r="M9" s="81"/>
      <c r="N9" s="87">
        <v>0.02</v>
      </c>
      <c r="O9" s="83">
        <f t="shared" ref="O9:O10" si="3">J9+M9</f>
        <v>22.195200000000003</v>
      </c>
      <c r="P9" s="79">
        <f t="shared" ref="P9:P10" si="4">J9*(1+T9)</f>
        <v>22.639104000000003</v>
      </c>
      <c r="Q9" s="80">
        <v>7.75</v>
      </c>
      <c r="R9" s="79">
        <f t="shared" ref="R9:R10" si="5">Q9*P9</f>
        <v>175.45305600000003</v>
      </c>
      <c r="T9" s="75">
        <v>0.02</v>
      </c>
      <c r="U9" s="83">
        <f t="shared" ref="U9:U10" si="6">P9+S9</f>
        <v>22.639104000000003</v>
      </c>
    </row>
    <row r="10" spans="1:21" x14ac:dyDescent="0.25">
      <c r="C10" t="s">
        <v>65</v>
      </c>
      <c r="D10" s="79">
        <v>33.92</v>
      </c>
      <c r="E10" s="80">
        <v>7.75</v>
      </c>
      <c r="F10" s="82">
        <f>E10*D10</f>
        <v>262.88</v>
      </c>
      <c r="G10" s="81"/>
      <c r="H10" s="81">
        <v>0</v>
      </c>
      <c r="I10" s="83">
        <f t="shared" si="0"/>
        <v>33.92</v>
      </c>
      <c r="J10" s="79">
        <f t="shared" si="1"/>
        <v>34.598400000000005</v>
      </c>
      <c r="K10" s="80">
        <v>7.75</v>
      </c>
      <c r="L10" s="79">
        <f t="shared" si="2"/>
        <v>268.13760000000002</v>
      </c>
      <c r="M10" s="81"/>
      <c r="N10" s="87">
        <v>0.02</v>
      </c>
      <c r="O10" s="83">
        <f t="shared" si="3"/>
        <v>34.598400000000005</v>
      </c>
      <c r="P10" s="79">
        <f t="shared" si="4"/>
        <v>35.290368000000008</v>
      </c>
      <c r="Q10" s="80">
        <v>7.75</v>
      </c>
      <c r="R10" s="79">
        <f t="shared" si="5"/>
        <v>273.50035200000008</v>
      </c>
      <c r="T10" s="75">
        <v>0.02</v>
      </c>
      <c r="U10" s="83">
        <f t="shared" si="6"/>
        <v>35.290368000000008</v>
      </c>
    </row>
    <row r="11" spans="1:21" x14ac:dyDescent="0.25">
      <c r="J11" s="5"/>
    </row>
    <row r="12" spans="1:21" x14ac:dyDescent="0.25">
      <c r="B12" s="73" t="s">
        <v>98</v>
      </c>
      <c r="D12" s="9" t="s">
        <v>51</v>
      </c>
      <c r="E12" s="160" t="s">
        <v>134</v>
      </c>
      <c r="F12" s="3" t="s">
        <v>160</v>
      </c>
      <c r="G12" s="3" t="s">
        <v>161</v>
      </c>
      <c r="H12" s="3" t="s">
        <v>162</v>
      </c>
      <c r="L12" s="95"/>
    </row>
    <row r="13" spans="1:21" x14ac:dyDescent="0.25">
      <c r="C13" t="s">
        <v>166</v>
      </c>
      <c r="D13" s="1">
        <f>439*H13</f>
        <v>506.92976249999998</v>
      </c>
      <c r="E13" s="7">
        <f>(439.09+13.827)*H13</f>
        <v>523.00024428749998</v>
      </c>
      <c r="F13">
        <v>1.05</v>
      </c>
      <c r="G13">
        <v>1.09975</v>
      </c>
      <c r="H13">
        <f>G13*F13</f>
        <v>1.1547375</v>
      </c>
    </row>
    <row r="14" spans="1:21" x14ac:dyDescent="0.25">
      <c r="C14" t="s">
        <v>32</v>
      </c>
      <c r="D14" s="1">
        <v>3500</v>
      </c>
    </row>
    <row r="15" spans="1:21" x14ac:dyDescent="0.25">
      <c r="C15" t="s">
        <v>165</v>
      </c>
      <c r="D15" s="1">
        <f>(1132.99+35+129.3)*H13</f>
        <v>1498.0294113749999</v>
      </c>
      <c r="E15" s="7">
        <f>(1132.99+35.01+57.84)*H13</f>
        <v>1415.5234169999999</v>
      </c>
    </row>
    <row r="16" spans="1:21" x14ac:dyDescent="0.25">
      <c r="C16" t="s">
        <v>156</v>
      </c>
      <c r="D16" s="1">
        <v>60</v>
      </c>
      <c r="E16" s="7">
        <f>45.99*H13</f>
        <v>53.106377625</v>
      </c>
    </row>
    <row r="17" spans="2:6" x14ac:dyDescent="0.25">
      <c r="C17" t="s">
        <v>15</v>
      </c>
      <c r="D17" s="1">
        <f>375.17*H13</f>
        <v>433.22286787500002</v>
      </c>
      <c r="E17" s="7">
        <f>376.42*H13</f>
        <v>434.66628975000003</v>
      </c>
    </row>
    <row r="18" spans="2:6" x14ac:dyDescent="0.25">
      <c r="C18" t="s">
        <v>17</v>
      </c>
      <c r="D18" s="1">
        <v>250</v>
      </c>
      <c r="E18" s="7">
        <f>221.36*H13</f>
        <v>255.61269300000001</v>
      </c>
    </row>
    <row r="20" spans="2:6" x14ac:dyDescent="0.25">
      <c r="B20" s="17" t="s">
        <v>99</v>
      </c>
      <c r="D20" s="9" t="s">
        <v>51</v>
      </c>
    </row>
    <row r="21" spans="2:6" x14ac:dyDescent="0.25">
      <c r="C21" t="s">
        <v>31</v>
      </c>
      <c r="D21" s="1">
        <v>250</v>
      </c>
      <c r="E21" s="3">
        <v>234.96</v>
      </c>
    </row>
    <row r="22" spans="2:6" x14ac:dyDescent="0.25">
      <c r="B22" t="s">
        <v>35</v>
      </c>
      <c r="D22" s="1">
        <v>100</v>
      </c>
      <c r="E22" s="7">
        <f>((1.08+10.87+29.99)*H13)+10</f>
        <v>58.429690749999999</v>
      </c>
    </row>
    <row r="23" spans="2:6" x14ac:dyDescent="0.25">
      <c r="C23" t="s">
        <v>168</v>
      </c>
      <c r="E23" s="1">
        <v>1.08</v>
      </c>
    </row>
    <row r="24" spans="2:6" x14ac:dyDescent="0.25">
      <c r="C24" t="s">
        <v>169</v>
      </c>
      <c r="E24" s="1">
        <v>10.87</v>
      </c>
    </row>
    <row r="25" spans="2:6" x14ac:dyDescent="0.25">
      <c r="C25" t="s">
        <v>170</v>
      </c>
      <c r="E25" s="1">
        <v>29.99</v>
      </c>
    </row>
    <row r="26" spans="2:6" x14ac:dyDescent="0.25">
      <c r="C26" t="s">
        <v>171</v>
      </c>
      <c r="E26" s="1">
        <v>10</v>
      </c>
      <c r="F26" t="s">
        <v>172</v>
      </c>
    </row>
    <row r="27" spans="2:6" x14ac:dyDescent="0.25">
      <c r="D27" s="1"/>
      <c r="E27" s="7"/>
    </row>
    <row r="28" spans="2:6" x14ac:dyDescent="0.25">
      <c r="C28" t="s">
        <v>37</v>
      </c>
      <c r="D28" s="1">
        <v>500</v>
      </c>
    </row>
    <row r="29" spans="2:6" x14ac:dyDescent="0.25">
      <c r="C29" t="s">
        <v>73</v>
      </c>
      <c r="D29" s="1">
        <v>250</v>
      </c>
    </row>
    <row r="30" spans="2:6" x14ac:dyDescent="0.25">
      <c r="C30" t="s">
        <v>82</v>
      </c>
      <c r="D30" s="1">
        <v>2000</v>
      </c>
    </row>
    <row r="32" spans="2:6" x14ac:dyDescent="0.25">
      <c r="B32" s="17" t="s">
        <v>57</v>
      </c>
      <c r="D32" s="9" t="s">
        <v>51</v>
      </c>
    </row>
    <row r="33" spans="2:4" x14ac:dyDescent="0.25">
      <c r="B33" s="17"/>
      <c r="C33" t="s">
        <v>103</v>
      </c>
      <c r="D33" s="1">
        <v>0.44</v>
      </c>
    </row>
    <row r="34" spans="2:4" x14ac:dyDescent="0.25">
      <c r="C34" t="s">
        <v>104</v>
      </c>
      <c r="D34" s="1">
        <v>0.5</v>
      </c>
    </row>
    <row r="35" spans="2:4" x14ac:dyDescent="0.25">
      <c r="C35" t="s">
        <v>38</v>
      </c>
      <c r="D35" s="1">
        <v>4</v>
      </c>
    </row>
  </sheetData>
  <mergeCells count="8">
    <mergeCell ref="A1:U1"/>
    <mergeCell ref="A2:U2"/>
    <mergeCell ref="D5:I5"/>
    <mergeCell ref="J5:O5"/>
    <mergeCell ref="P5:U5"/>
    <mergeCell ref="D4:I4"/>
    <mergeCell ref="J4:O4"/>
    <mergeCell ref="P4:U4"/>
  </mergeCells>
  <pageMargins left="0.25" right="0.25" top="0.75" bottom="0.75" header="0.3" footer="0.3"/>
  <pageSetup scale="6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K18"/>
  <sheetViews>
    <sheetView topLeftCell="A9" workbookViewId="0">
      <selection activeCell="B19" sqref="B19"/>
    </sheetView>
  </sheetViews>
  <sheetFormatPr baseColWidth="10" defaultRowHeight="18.75" x14ac:dyDescent="0.25"/>
  <cols>
    <col min="1" max="1" width="3.85546875" style="10" customWidth="1"/>
    <col min="2" max="2" width="216.85546875" customWidth="1"/>
  </cols>
  <sheetData>
    <row r="1" spans="1:37" ht="41.25" customHeight="1" x14ac:dyDescent="0.25">
      <c r="A1" s="177" t="s">
        <v>111</v>
      </c>
      <c r="B1" s="177"/>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row>
    <row r="2" spans="1:37" ht="26.25" x14ac:dyDescent="0.4">
      <c r="A2" s="194" t="s">
        <v>113</v>
      </c>
      <c r="B2" s="194"/>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103"/>
    </row>
    <row r="3" spans="1:37" ht="6" customHeight="1" x14ac:dyDescent="0.25">
      <c r="A3"/>
      <c r="E3" s="13"/>
      <c r="F3" s="3"/>
      <c r="G3" s="3"/>
      <c r="H3" s="1"/>
      <c r="I3" s="7"/>
      <c r="J3" s="1"/>
      <c r="K3" s="1"/>
      <c r="L3" s="1"/>
      <c r="M3" s="1"/>
      <c r="N3" s="1"/>
      <c r="O3" s="1"/>
      <c r="P3" s="1"/>
      <c r="Q3" s="1"/>
      <c r="R3" s="1"/>
    </row>
    <row r="4" spans="1:37" x14ac:dyDescent="0.25">
      <c r="A4" s="10" t="s">
        <v>40</v>
      </c>
      <c r="B4" s="10" t="s">
        <v>94</v>
      </c>
    </row>
    <row r="5" spans="1:37" ht="85.5" customHeight="1" x14ac:dyDescent="0.25">
      <c r="A5" s="10">
        <v>1</v>
      </c>
      <c r="B5" s="11" t="s">
        <v>137</v>
      </c>
    </row>
    <row r="6" spans="1:37" ht="65.25" x14ac:dyDescent="0.25">
      <c r="A6" s="10">
        <v>2</v>
      </c>
      <c r="B6" s="11" t="s">
        <v>164</v>
      </c>
    </row>
    <row r="7" spans="1:37" ht="63" x14ac:dyDescent="0.25">
      <c r="A7" s="10">
        <v>3</v>
      </c>
      <c r="B7" s="11" t="s">
        <v>110</v>
      </c>
    </row>
    <row r="8" spans="1:37" ht="47.25" x14ac:dyDescent="0.25">
      <c r="A8" s="10">
        <v>4</v>
      </c>
      <c r="B8" s="11" t="s">
        <v>109</v>
      </c>
    </row>
    <row r="9" spans="1:37" ht="31.5" x14ac:dyDescent="0.25">
      <c r="A9" s="10">
        <v>5</v>
      </c>
      <c r="B9" s="11" t="s">
        <v>81</v>
      </c>
    </row>
    <row r="10" spans="1:37" ht="31.5" x14ac:dyDescent="0.25">
      <c r="A10" s="10">
        <v>6</v>
      </c>
      <c r="B10" s="11" t="s">
        <v>101</v>
      </c>
    </row>
    <row r="11" spans="1:37" ht="31.5" x14ac:dyDescent="0.25">
      <c r="A11" s="10">
        <v>7</v>
      </c>
      <c r="B11" s="11" t="s">
        <v>80</v>
      </c>
    </row>
    <row r="12" spans="1:37" ht="31.5" x14ac:dyDescent="0.25">
      <c r="A12" s="10">
        <v>8</v>
      </c>
      <c r="B12" s="11" t="s">
        <v>79</v>
      </c>
    </row>
    <row r="13" spans="1:37" ht="47.25" x14ac:dyDescent="0.25">
      <c r="A13" s="10">
        <v>9</v>
      </c>
      <c r="B13" s="11" t="s">
        <v>78</v>
      </c>
    </row>
    <row r="14" spans="1:37" x14ac:dyDescent="0.25">
      <c r="A14" s="10">
        <v>10</v>
      </c>
      <c r="B14" s="61" t="s">
        <v>86</v>
      </c>
    </row>
    <row r="15" spans="1:37" x14ac:dyDescent="0.25">
      <c r="A15" s="10">
        <v>11</v>
      </c>
      <c r="B15" s="61" t="s">
        <v>88</v>
      </c>
    </row>
    <row r="16" spans="1:37" x14ac:dyDescent="0.25">
      <c r="A16" s="10">
        <v>12</v>
      </c>
      <c r="B16" s="11" t="s">
        <v>106</v>
      </c>
    </row>
    <row r="17" spans="1:2" x14ac:dyDescent="0.25">
      <c r="A17" s="10">
        <v>13</v>
      </c>
      <c r="B17" s="11" t="s">
        <v>142</v>
      </c>
    </row>
    <row r="18" spans="1:2" x14ac:dyDescent="0.25">
      <c r="A18" s="10">
        <v>14</v>
      </c>
      <c r="B18" s="11" t="s">
        <v>174</v>
      </c>
    </row>
  </sheetData>
  <mergeCells count="2">
    <mergeCell ref="A2:B2"/>
    <mergeCell ref="A1:B1"/>
  </mergeCells>
  <pageMargins left="0.7" right="0.7" top="0.75" bottom="0.75" header="0.3" footer="0.3"/>
  <pageSetup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61"/>
  <sheetViews>
    <sheetView topLeftCell="A35" workbookViewId="0">
      <selection activeCell="L34" sqref="L34"/>
    </sheetView>
  </sheetViews>
  <sheetFormatPr baseColWidth="10" defaultRowHeight="15" x14ac:dyDescent="0.25"/>
  <cols>
    <col min="1" max="3" width="1.28515625" customWidth="1"/>
    <col min="4" max="4" width="30.7109375" customWidth="1"/>
    <col min="5" max="5" width="4.28515625" style="13" customWidth="1"/>
    <col min="6" max="6" width="5.42578125" style="3" customWidth="1"/>
    <col min="7" max="7" width="11.140625" style="3" customWidth="1"/>
    <col min="8" max="8" width="16.85546875" style="1" customWidth="1"/>
    <col min="9" max="9" width="4.28515625" style="7" customWidth="1"/>
    <col min="10" max="12" width="1.28515625" style="1" customWidth="1"/>
    <col min="13" max="13" width="30.85546875" style="1" customWidth="1"/>
    <col min="14" max="14" width="4.140625" style="1" customWidth="1"/>
    <col min="15" max="15" width="5.42578125" style="1" customWidth="1"/>
    <col min="16" max="16" width="11.42578125" style="1" customWidth="1"/>
    <col min="17" max="17" width="16.85546875" style="1" customWidth="1"/>
    <col min="18" max="18" width="4.42578125" style="1" customWidth="1"/>
    <col min="19" max="21" width="1.28515625" customWidth="1"/>
    <col min="22" max="22" width="30.85546875" customWidth="1"/>
    <col min="23" max="23" width="4.140625" customWidth="1"/>
    <col min="24" max="24" width="5.42578125" customWidth="1"/>
    <col min="25" max="25" width="11.42578125" customWidth="1"/>
    <col min="26" max="26" width="16.85546875" customWidth="1"/>
    <col min="27" max="27" width="5.140625" customWidth="1"/>
    <col min="28" max="28" width="1" customWidth="1"/>
    <col min="29" max="30" width="1.28515625" customWidth="1"/>
    <col min="31" max="31" width="30.85546875" customWidth="1"/>
    <col min="32" max="32" width="4.140625" customWidth="1"/>
    <col min="33" max="33" width="5.42578125" customWidth="1"/>
    <col min="34" max="34" width="11.42578125" customWidth="1"/>
    <col min="35" max="35" width="16.85546875" customWidth="1"/>
    <col min="36" max="36" width="4.28515625" customWidth="1"/>
  </cols>
  <sheetData>
    <row r="1" spans="1:36" ht="42" customHeight="1" x14ac:dyDescent="0.25">
      <c r="A1" s="177" t="s">
        <v>111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row>
    <row r="2" spans="1:36" ht="26.25" x14ac:dyDescent="0.4">
      <c r="A2" s="198" t="s">
        <v>112</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row>
    <row r="3" spans="1:36" ht="2.25" customHeight="1" x14ac:dyDescent="0.25"/>
    <row r="4" spans="1:36" s="12" customFormat="1" ht="21" x14ac:dyDescent="0.35">
      <c r="A4" s="47"/>
      <c r="B4" s="200" t="s">
        <v>47</v>
      </c>
      <c r="C4" s="200"/>
      <c r="D4" s="200"/>
      <c r="E4" s="200"/>
      <c r="F4" s="200"/>
      <c r="G4" s="200"/>
      <c r="H4" s="200"/>
      <c r="I4" s="200"/>
      <c r="J4" s="41"/>
      <c r="K4" s="199" t="s">
        <v>58</v>
      </c>
      <c r="L4" s="199"/>
      <c r="M4" s="199"/>
      <c r="N4" s="199"/>
      <c r="O4" s="199"/>
      <c r="P4" s="199"/>
      <c r="Q4" s="199"/>
      <c r="R4" s="199"/>
      <c r="S4" s="47"/>
      <c r="T4" s="206" t="s">
        <v>83</v>
      </c>
      <c r="U4" s="206"/>
      <c r="V4" s="206"/>
      <c r="W4" s="206"/>
      <c r="X4" s="206"/>
      <c r="Y4" s="206"/>
      <c r="Z4" s="206"/>
      <c r="AA4" s="206"/>
      <c r="AB4" s="47"/>
      <c r="AC4" s="205" t="s">
        <v>85</v>
      </c>
      <c r="AD4" s="205"/>
      <c r="AE4" s="205"/>
      <c r="AF4" s="205"/>
      <c r="AG4" s="205"/>
      <c r="AH4" s="205"/>
      <c r="AI4" s="205"/>
      <c r="AJ4" s="205"/>
    </row>
    <row r="5" spans="1:36" s="17" customFormat="1" ht="16.5" customHeight="1" x14ac:dyDescent="0.25">
      <c r="A5" s="48"/>
      <c r="B5" s="196" t="s">
        <v>48</v>
      </c>
      <c r="C5" s="196"/>
      <c r="D5" s="196"/>
      <c r="E5" s="14" t="s">
        <v>49</v>
      </c>
      <c r="F5" s="9" t="s">
        <v>50</v>
      </c>
      <c r="G5" s="9" t="s">
        <v>51</v>
      </c>
      <c r="H5" s="16" t="s">
        <v>5</v>
      </c>
      <c r="I5" s="16"/>
      <c r="J5" s="42"/>
      <c r="K5" s="196" t="s">
        <v>48</v>
      </c>
      <c r="L5" s="196"/>
      <c r="M5" s="196"/>
      <c r="N5" s="14" t="s">
        <v>49</v>
      </c>
      <c r="O5" s="9" t="s">
        <v>50</v>
      </c>
      <c r="P5" s="9" t="s">
        <v>51</v>
      </c>
      <c r="Q5" s="16" t="s">
        <v>5</v>
      </c>
      <c r="R5" s="16"/>
      <c r="S5" s="48"/>
      <c r="T5" s="196" t="s">
        <v>48</v>
      </c>
      <c r="U5" s="196"/>
      <c r="V5" s="196"/>
      <c r="W5" s="14" t="s">
        <v>49</v>
      </c>
      <c r="X5" s="9" t="s">
        <v>50</v>
      </c>
      <c r="Y5" s="9" t="s">
        <v>51</v>
      </c>
      <c r="Z5" s="16" t="s">
        <v>5</v>
      </c>
      <c r="AA5" s="16"/>
      <c r="AB5" s="48"/>
      <c r="AC5" s="196" t="s">
        <v>48</v>
      </c>
      <c r="AD5" s="196"/>
      <c r="AE5" s="196"/>
      <c r="AF5" s="14" t="s">
        <v>49</v>
      </c>
      <c r="AG5" s="9" t="s">
        <v>50</v>
      </c>
      <c r="AH5" s="9" t="s">
        <v>51</v>
      </c>
      <c r="AI5" s="16" t="s">
        <v>5</v>
      </c>
    </row>
    <row r="6" spans="1:36" ht="16.5" customHeight="1" x14ac:dyDescent="0.25">
      <c r="A6" s="49"/>
      <c r="B6" s="22" t="s">
        <v>52</v>
      </c>
      <c r="C6" s="23"/>
      <c r="D6" s="23"/>
      <c r="E6" s="24"/>
      <c r="F6" s="25"/>
      <c r="G6" s="25"/>
      <c r="H6" s="26"/>
      <c r="I6" s="64"/>
      <c r="J6" s="43"/>
      <c r="K6" s="22" t="s">
        <v>52</v>
      </c>
      <c r="L6" s="23"/>
      <c r="M6" s="23"/>
      <c r="N6" s="24"/>
      <c r="O6" s="25"/>
      <c r="P6" s="25"/>
      <c r="Q6" s="26"/>
      <c r="R6" s="26"/>
      <c r="S6" s="49"/>
      <c r="T6" s="22" t="s">
        <v>52</v>
      </c>
      <c r="U6" s="23"/>
      <c r="V6" s="23"/>
      <c r="W6" s="24"/>
      <c r="X6" s="25"/>
      <c r="Y6" s="25"/>
      <c r="Z6" s="26"/>
      <c r="AA6" s="26"/>
      <c r="AB6" s="49"/>
      <c r="AC6" s="22" t="s">
        <v>52</v>
      </c>
      <c r="AD6" s="23"/>
      <c r="AE6" s="23"/>
      <c r="AF6" s="24"/>
      <c r="AG6" s="25"/>
      <c r="AH6" s="25"/>
      <c r="AI6" s="26"/>
      <c r="AJ6" s="26"/>
    </row>
    <row r="7" spans="1:36" ht="16.5" customHeight="1" x14ac:dyDescent="0.25">
      <c r="A7" s="49"/>
      <c r="C7" s="52" t="s">
        <v>0</v>
      </c>
      <c r="D7" s="52"/>
      <c r="E7" s="53" t="s">
        <v>87</v>
      </c>
      <c r="F7" s="54">
        <v>1</v>
      </c>
      <c r="G7" s="54" t="s">
        <v>1</v>
      </c>
      <c r="I7" s="65">
        <f>(H8+H9)/H23</f>
        <v>0.91836881973350437</v>
      </c>
      <c r="J7" s="43"/>
      <c r="K7"/>
      <c r="L7" s="52" t="s">
        <v>0</v>
      </c>
      <c r="M7" s="52"/>
      <c r="N7" s="53" t="s">
        <v>87</v>
      </c>
      <c r="O7" s="54">
        <v>1</v>
      </c>
      <c r="P7" s="54" t="s">
        <v>1</v>
      </c>
      <c r="R7" s="63">
        <f>Q8/Q23</f>
        <v>0.62651474381467587</v>
      </c>
      <c r="S7" s="49"/>
      <c r="U7" s="52" t="s">
        <v>0</v>
      </c>
      <c r="V7" s="52"/>
      <c r="W7" s="53" t="s">
        <v>87</v>
      </c>
      <c r="X7" s="54">
        <v>1</v>
      </c>
      <c r="Y7" s="54" t="s">
        <v>1</v>
      </c>
      <c r="Z7" s="1"/>
      <c r="AA7" s="63">
        <f>Z8/Z23</f>
        <v>0.62964261424311585</v>
      </c>
      <c r="AB7" s="49"/>
      <c r="AD7" s="52" t="s">
        <v>0</v>
      </c>
      <c r="AE7" s="52"/>
      <c r="AF7" s="53" t="s">
        <v>87</v>
      </c>
      <c r="AG7" s="54">
        <v>1</v>
      </c>
      <c r="AH7" s="54" t="s">
        <v>1</v>
      </c>
      <c r="AI7" s="1"/>
      <c r="AJ7" s="63">
        <f>AI8/AI23</f>
        <v>0.70076528787579095</v>
      </c>
    </row>
    <row r="8" spans="1:36" ht="16.5" customHeight="1" x14ac:dyDescent="0.25">
      <c r="A8" s="49"/>
      <c r="D8" s="2" t="s">
        <v>6</v>
      </c>
      <c r="E8" s="15"/>
      <c r="F8" s="6">
        <v>34</v>
      </c>
      <c r="G8" s="6" t="s">
        <v>27</v>
      </c>
      <c r="H8" s="1">
        <f>F8*DONNÉES!F7</f>
        <v>8937.92</v>
      </c>
      <c r="J8" s="43"/>
      <c r="K8"/>
      <c r="L8"/>
      <c r="M8" s="2" t="s">
        <v>59</v>
      </c>
      <c r="N8" s="15"/>
      <c r="O8" s="6">
        <v>92</v>
      </c>
      <c r="P8" s="6" t="s">
        <v>27</v>
      </c>
      <c r="Q8" s="1">
        <f>O8*DONNÉES!L7</f>
        <v>24668.659200000002</v>
      </c>
      <c r="S8" s="49"/>
      <c r="V8" s="2" t="s">
        <v>59</v>
      </c>
      <c r="W8" s="15"/>
      <c r="X8" s="6">
        <v>92</v>
      </c>
      <c r="Y8" s="6" t="s">
        <v>27</v>
      </c>
      <c r="Z8" s="1">
        <f>X8*DONNÉES!R7</f>
        <v>25162.032384000006</v>
      </c>
      <c r="AA8" s="1"/>
      <c r="AB8" s="49"/>
      <c r="AE8" s="2"/>
      <c r="AF8" s="15"/>
      <c r="AG8" s="6">
        <f>X8+O8+F8+F9</f>
        <v>239</v>
      </c>
      <c r="AH8" s="6" t="s">
        <v>27</v>
      </c>
      <c r="AI8" s="1">
        <f>Z8+Q8+H8+H9</f>
        <v>64289.091584000009</v>
      </c>
      <c r="AJ8" s="1"/>
    </row>
    <row r="9" spans="1:36" ht="16.5" customHeight="1" x14ac:dyDescent="0.25">
      <c r="A9" s="49"/>
      <c r="D9" s="2" t="s">
        <v>7</v>
      </c>
      <c r="E9" s="15"/>
      <c r="F9" s="6">
        <v>21</v>
      </c>
      <c r="G9" s="6" t="s">
        <v>27</v>
      </c>
      <c r="H9" s="1">
        <f>F9*DONNÉES!F7</f>
        <v>5520.48</v>
      </c>
      <c r="J9" s="43"/>
      <c r="K9"/>
      <c r="L9"/>
      <c r="M9" s="2"/>
      <c r="N9" s="15"/>
      <c r="O9" s="6"/>
      <c r="P9" s="6"/>
      <c r="Q9" s="1">
        <f>O9*DONNÉES!N7</f>
        <v>0</v>
      </c>
      <c r="S9" s="49"/>
      <c r="V9" s="2"/>
      <c r="W9" s="15"/>
      <c r="X9" s="6"/>
      <c r="Y9" s="6"/>
      <c r="Z9" s="1">
        <f>X9*DONNÉES!V7</f>
        <v>0</v>
      </c>
      <c r="AA9" s="1"/>
      <c r="AB9" s="49"/>
      <c r="AE9" s="2"/>
      <c r="AF9" s="15"/>
      <c r="AG9" s="6"/>
      <c r="AH9" s="6"/>
      <c r="AI9" s="1"/>
      <c r="AJ9" s="1"/>
    </row>
    <row r="10" spans="1:36" ht="17.25" customHeight="1" x14ac:dyDescent="0.25">
      <c r="A10" s="49"/>
      <c r="C10" s="52" t="s">
        <v>3</v>
      </c>
      <c r="D10" s="52"/>
      <c r="E10" s="53" t="s">
        <v>89</v>
      </c>
      <c r="F10" s="55">
        <v>1</v>
      </c>
      <c r="G10" s="55" t="s">
        <v>4</v>
      </c>
      <c r="I10" s="65">
        <f>SUM(H11:H13)/H23</f>
        <v>4.9496147809268386E-2</v>
      </c>
      <c r="J10" s="43"/>
      <c r="K10"/>
      <c r="L10" s="52" t="s">
        <v>3</v>
      </c>
      <c r="M10" s="52"/>
      <c r="N10" s="53" t="s">
        <v>89</v>
      </c>
      <c r="O10" s="55">
        <v>1</v>
      </c>
      <c r="P10" s="55" t="s">
        <v>4</v>
      </c>
      <c r="R10" s="63">
        <f>SUM(Q11:Q15)/Q23</f>
        <v>0.19495118492733002</v>
      </c>
      <c r="S10" s="49"/>
      <c r="U10" s="52" t="s">
        <v>3</v>
      </c>
      <c r="V10" s="52"/>
      <c r="W10" s="53" t="s">
        <v>89</v>
      </c>
      <c r="X10" s="55">
        <v>1</v>
      </c>
      <c r="Y10" s="55" t="s">
        <v>4</v>
      </c>
      <c r="Z10" s="1"/>
      <c r="AA10" s="63">
        <f>SUM(Z11:Z15)/Z23</f>
        <v>0.17049596688244503</v>
      </c>
      <c r="AB10" s="49"/>
      <c r="AD10" s="52" t="s">
        <v>3</v>
      </c>
      <c r="AE10" s="52"/>
      <c r="AF10" s="53" t="s">
        <v>89</v>
      </c>
      <c r="AG10" s="55">
        <v>1</v>
      </c>
      <c r="AH10" s="55" t="s">
        <v>4</v>
      </c>
      <c r="AI10" s="1"/>
      <c r="AJ10" s="63">
        <f>SUM(AI11:AI15)/AI23</f>
        <v>0.13491868093253578</v>
      </c>
    </row>
    <row r="11" spans="1:36" x14ac:dyDescent="0.25">
      <c r="A11" s="49"/>
      <c r="B11" s="108"/>
      <c r="D11" t="s">
        <v>145</v>
      </c>
      <c r="F11" s="106">
        <v>9</v>
      </c>
      <c r="G11" s="6" t="s">
        <v>30</v>
      </c>
      <c r="H11" s="1">
        <f>F11*DONNÉES!I8</f>
        <v>233.77375889999999</v>
      </c>
      <c r="I11" s="123" t="s">
        <v>117</v>
      </c>
      <c r="J11" s="43"/>
      <c r="K11"/>
      <c r="L11"/>
      <c r="M11" t="s">
        <v>147</v>
      </c>
      <c r="N11" s="13"/>
      <c r="O11" s="106">
        <f>29*3</f>
        <v>87</v>
      </c>
      <c r="P11" s="6" t="s">
        <v>30</v>
      </c>
      <c r="Q11" s="144">
        <f>O11*DONNÉES!O8</f>
        <v>2305.0092627540002</v>
      </c>
      <c r="R11" s="120" t="s">
        <v>118</v>
      </c>
      <c r="S11" s="49"/>
      <c r="V11" t="s">
        <v>60</v>
      </c>
      <c r="W11" s="13"/>
      <c r="X11" s="6">
        <v>72</v>
      </c>
      <c r="Y11" s="6" t="s">
        <v>30</v>
      </c>
      <c r="Z11" s="1">
        <f>X11*DONNÉES!U8</f>
        <v>1986.1006650780096</v>
      </c>
      <c r="AA11" s="1"/>
      <c r="AB11" s="49"/>
      <c r="AF11" s="13"/>
      <c r="AG11" s="6">
        <f>SUM(X11:X15)+SUM(O11:O15)+SUM(F11:F13)</f>
        <v>567</v>
      </c>
      <c r="AH11" s="6" t="s">
        <v>30</v>
      </c>
      <c r="AI11" s="1">
        <f>AG11*DONNÉES!D8</f>
        <v>12377.609999999999</v>
      </c>
      <c r="AJ11" s="1"/>
    </row>
    <row r="12" spans="1:36" x14ac:dyDescent="0.25">
      <c r="A12" s="49"/>
      <c r="D12" t="s">
        <v>150</v>
      </c>
      <c r="F12" s="106">
        <v>21</v>
      </c>
      <c r="G12" s="6" t="s">
        <v>30</v>
      </c>
      <c r="H12" s="1">
        <f>F12*DONNÉES!I8</f>
        <v>545.47210410000002</v>
      </c>
      <c r="I12" s="123" t="s">
        <v>151</v>
      </c>
      <c r="J12" s="43"/>
      <c r="K12"/>
      <c r="L12"/>
      <c r="M12" t="s">
        <v>61</v>
      </c>
      <c r="N12" s="13"/>
      <c r="O12" s="6">
        <v>35</v>
      </c>
      <c r="P12" s="6" t="s">
        <v>30</v>
      </c>
      <c r="Q12" s="40">
        <f>O12*DONNÉES!O8</f>
        <v>927.30257697000013</v>
      </c>
      <c r="R12" s="119"/>
      <c r="S12" s="49"/>
      <c r="V12" t="s">
        <v>61</v>
      </c>
      <c r="W12" s="13"/>
      <c r="X12" s="6">
        <v>35</v>
      </c>
      <c r="Y12" s="6" t="s">
        <v>30</v>
      </c>
      <c r="Z12" s="40">
        <f>X12*DONNÉES!U8</f>
        <v>965.46560107958805</v>
      </c>
      <c r="AA12" s="40"/>
      <c r="AB12" s="49"/>
      <c r="AF12" s="13"/>
      <c r="AG12" s="6"/>
      <c r="AH12" s="6"/>
      <c r="AI12" s="40"/>
      <c r="AJ12" s="40"/>
    </row>
    <row r="13" spans="1:36" x14ac:dyDescent="0.25">
      <c r="A13" s="49"/>
      <c r="D13" t="s">
        <v>157</v>
      </c>
      <c r="F13" s="106">
        <v>0</v>
      </c>
      <c r="G13" s="6" t="s">
        <v>30</v>
      </c>
      <c r="H13" s="144">
        <f>F13*DONNÉES!I8</f>
        <v>0</v>
      </c>
      <c r="I13" s="123" t="s">
        <v>119</v>
      </c>
      <c r="J13" s="43"/>
      <c r="K13"/>
      <c r="L13"/>
      <c r="M13" t="s">
        <v>123</v>
      </c>
      <c r="N13" s="13"/>
      <c r="O13" s="106">
        <v>84</v>
      </c>
      <c r="P13" s="6" t="s">
        <v>30</v>
      </c>
      <c r="Q13" s="144">
        <f>O13*DONNÉES!O8</f>
        <v>2225.5261847280003</v>
      </c>
      <c r="R13" s="120" t="s">
        <v>120</v>
      </c>
      <c r="S13" s="49"/>
      <c r="V13" t="s">
        <v>62</v>
      </c>
      <c r="W13" s="13"/>
      <c r="X13" s="6">
        <v>70</v>
      </c>
      <c r="Y13" s="6" t="s">
        <v>30</v>
      </c>
      <c r="Z13" s="1">
        <f>X13*DONNÉES!U8</f>
        <v>1930.9312021591761</v>
      </c>
      <c r="AA13" s="1"/>
      <c r="AB13" s="49"/>
      <c r="AF13" s="13"/>
      <c r="AG13" s="6"/>
      <c r="AH13" s="6"/>
      <c r="AI13" s="1"/>
      <c r="AJ13" s="1"/>
    </row>
    <row r="14" spans="1:36" x14ac:dyDescent="0.25">
      <c r="A14" s="49"/>
      <c r="F14" s="106"/>
      <c r="G14" s="6"/>
      <c r="I14" s="123"/>
      <c r="J14" s="43"/>
      <c r="K14"/>
      <c r="L14"/>
      <c r="M14" s="146" t="s">
        <v>153</v>
      </c>
      <c r="N14" s="13"/>
      <c r="O14" s="106">
        <v>14</v>
      </c>
      <c r="P14" s="6" t="s">
        <v>30</v>
      </c>
      <c r="Q14" s="144">
        <f>O14*DONNÉES!I8</f>
        <v>363.6480694</v>
      </c>
      <c r="R14" s="120" t="s">
        <v>154</v>
      </c>
      <c r="S14" s="49"/>
      <c r="W14" s="13"/>
      <c r="X14" s="6"/>
      <c r="Y14" s="6"/>
      <c r="Z14" s="1"/>
      <c r="AA14" s="1"/>
      <c r="AB14" s="49"/>
      <c r="AF14" s="13"/>
      <c r="AG14" s="6"/>
      <c r="AH14" s="6"/>
      <c r="AI14" s="1"/>
      <c r="AJ14" s="1"/>
    </row>
    <row r="15" spans="1:36" x14ac:dyDescent="0.25">
      <c r="A15" s="49"/>
      <c r="J15" s="43"/>
      <c r="K15"/>
      <c r="L15"/>
      <c r="M15" t="s">
        <v>63</v>
      </c>
      <c r="N15" s="13" t="s">
        <v>77</v>
      </c>
      <c r="O15" s="3">
        <v>70</v>
      </c>
      <c r="P15" s="3" t="s">
        <v>30</v>
      </c>
      <c r="Q15" s="1">
        <f>O15*DONNÉES!O8</f>
        <v>1854.6051539400003</v>
      </c>
      <c r="S15" s="49"/>
      <c r="V15" t="s">
        <v>63</v>
      </c>
      <c r="W15" s="13" t="s">
        <v>77</v>
      </c>
      <c r="X15" s="3">
        <v>70</v>
      </c>
      <c r="Y15" s="3" t="s">
        <v>30</v>
      </c>
      <c r="Z15" s="1">
        <f>X15*DONNÉES!U8</f>
        <v>1930.9312021591761</v>
      </c>
      <c r="AA15" s="1"/>
      <c r="AB15" s="49"/>
      <c r="AF15" s="13"/>
      <c r="AG15" s="3"/>
      <c r="AH15" s="3"/>
      <c r="AI15" s="1"/>
      <c r="AJ15" s="1"/>
    </row>
    <row r="16" spans="1:36" x14ac:dyDescent="0.25">
      <c r="A16" s="49"/>
      <c r="C16" s="56" t="s">
        <v>25</v>
      </c>
      <c r="D16" s="56"/>
      <c r="E16" s="71" t="s">
        <v>87</v>
      </c>
      <c r="F16" s="57">
        <v>1</v>
      </c>
      <c r="J16" s="43"/>
      <c r="K16"/>
      <c r="L16" s="52" t="s">
        <v>25</v>
      </c>
      <c r="M16" s="52"/>
      <c r="N16" s="53" t="s">
        <v>87</v>
      </c>
      <c r="O16" s="55">
        <v>1</v>
      </c>
      <c r="P16" s="55" t="s">
        <v>1</v>
      </c>
      <c r="R16" s="63">
        <f>SUM(Q17:Q18)/Q23</f>
        <v>5.1843436023935312E-2</v>
      </c>
      <c r="S16" s="49"/>
      <c r="U16" s="52" t="s">
        <v>25</v>
      </c>
      <c r="V16" s="52"/>
      <c r="W16" s="53" t="s">
        <v>87</v>
      </c>
      <c r="X16" s="55">
        <v>1</v>
      </c>
      <c r="Y16" s="55" t="s">
        <v>1</v>
      </c>
      <c r="Z16" s="1"/>
      <c r="AA16" s="63">
        <f>SUM(Z17:Z18)/Z23</f>
        <v>9.4490546597494243E-2</v>
      </c>
      <c r="AB16" s="49"/>
      <c r="AD16" s="52" t="s">
        <v>25</v>
      </c>
      <c r="AE16" s="52"/>
      <c r="AF16" s="53"/>
      <c r="AG16" s="55">
        <v>1</v>
      </c>
      <c r="AH16" s="55" t="s">
        <v>1</v>
      </c>
      <c r="AI16" s="1"/>
      <c r="AJ16" s="63">
        <f>SUM(AI17:AI18)/AI23</f>
        <v>6.1376090788160878E-2</v>
      </c>
    </row>
    <row r="17" spans="1:36" x14ac:dyDescent="0.25">
      <c r="A17" s="49"/>
      <c r="J17" s="43"/>
      <c r="K17"/>
      <c r="L17"/>
      <c r="M17" t="s">
        <v>64</v>
      </c>
      <c r="N17" s="13"/>
      <c r="O17" s="3">
        <v>35</v>
      </c>
      <c r="P17" s="3" t="s">
        <v>30</v>
      </c>
      <c r="Q17" s="1">
        <f>O17*DONNÉES!O10</f>
        <v>1210.9440000000002</v>
      </c>
      <c r="S17" s="49"/>
      <c r="V17" t="s">
        <v>64</v>
      </c>
      <c r="W17" s="13"/>
      <c r="X17" s="3">
        <v>35</v>
      </c>
      <c r="Y17" s="3" t="s">
        <v>30</v>
      </c>
      <c r="Z17" s="1">
        <f>X17*DONNÉES!U10</f>
        <v>1235.1628800000003</v>
      </c>
      <c r="AA17" s="1"/>
      <c r="AB17" s="49"/>
      <c r="AF17" s="13"/>
      <c r="AG17" s="3">
        <f>X17+X18+O17+O18</f>
        <v>166</v>
      </c>
      <c r="AH17" s="3" t="s">
        <v>30</v>
      </c>
      <c r="AI17" s="1">
        <f>AG17*DONNÉES!D10</f>
        <v>5630.72</v>
      </c>
      <c r="AJ17" s="1"/>
    </row>
    <row r="18" spans="1:36" x14ac:dyDescent="0.25">
      <c r="A18" s="49"/>
      <c r="J18" s="43"/>
      <c r="K18"/>
      <c r="L18"/>
      <c r="M18" t="s">
        <v>66</v>
      </c>
      <c r="N18" s="13"/>
      <c r="O18" s="3">
        <v>24</v>
      </c>
      <c r="P18" s="3" t="s">
        <v>30</v>
      </c>
      <c r="Q18" s="1">
        <f>O18*DONNÉES!O10</f>
        <v>830.36160000000018</v>
      </c>
      <c r="S18" s="49"/>
      <c r="V18" t="s">
        <v>84</v>
      </c>
      <c r="W18" s="13"/>
      <c r="X18" s="3">
        <v>72</v>
      </c>
      <c r="Y18" s="3" t="s">
        <v>30</v>
      </c>
      <c r="Z18" s="1">
        <f>X18*DONNÉES!U10</f>
        <v>2540.9064960000005</v>
      </c>
      <c r="AA18" s="1"/>
      <c r="AB18" s="49"/>
      <c r="AF18" s="13"/>
      <c r="AG18" s="3"/>
      <c r="AH18" s="3"/>
      <c r="AI18" s="1"/>
      <c r="AJ18" s="1"/>
    </row>
    <row r="19" spans="1:36" x14ac:dyDescent="0.25">
      <c r="A19" s="49"/>
      <c r="J19" s="43"/>
      <c r="K19"/>
      <c r="L19"/>
      <c r="M19"/>
      <c r="N19" s="13"/>
      <c r="O19" s="3"/>
      <c r="P19" s="3"/>
      <c r="S19" s="49"/>
      <c r="W19" s="13"/>
      <c r="X19" s="3"/>
      <c r="Y19" s="3"/>
      <c r="Z19" s="1"/>
      <c r="AA19" s="1"/>
      <c r="AB19" s="49"/>
      <c r="AF19" s="13"/>
      <c r="AG19" s="3"/>
      <c r="AH19" s="3"/>
      <c r="AI19" s="1"/>
      <c r="AJ19" s="1"/>
    </row>
    <row r="20" spans="1:36" x14ac:dyDescent="0.25">
      <c r="A20" s="49"/>
      <c r="J20" s="43"/>
      <c r="K20"/>
      <c r="L20"/>
      <c r="M20"/>
      <c r="N20" s="13"/>
      <c r="O20" s="3"/>
      <c r="P20" s="3"/>
      <c r="S20" s="49"/>
      <c r="W20" s="13"/>
      <c r="X20" s="3"/>
      <c r="Y20" s="3"/>
      <c r="Z20" s="1"/>
      <c r="AA20" s="1"/>
      <c r="AB20" s="49"/>
      <c r="AF20" s="13"/>
      <c r="AG20" s="3"/>
      <c r="AH20" s="3"/>
      <c r="AI20" s="1"/>
      <c r="AJ20" s="1"/>
    </row>
    <row r="21" spans="1:36" x14ac:dyDescent="0.25">
      <c r="A21" s="49"/>
      <c r="C21" s="52" t="s">
        <v>9</v>
      </c>
      <c r="D21" s="52"/>
      <c r="E21" s="50" t="s">
        <v>41</v>
      </c>
      <c r="F21" s="55">
        <v>1</v>
      </c>
      <c r="G21" s="55" t="s">
        <v>10</v>
      </c>
      <c r="I21" s="65">
        <f>H22/H23</f>
        <v>3.2135032457227257E-2</v>
      </c>
      <c r="J21" s="43"/>
      <c r="K21"/>
      <c r="L21" s="52" t="s">
        <v>9</v>
      </c>
      <c r="M21" s="52"/>
      <c r="N21" s="53" t="s">
        <v>41</v>
      </c>
      <c r="O21" s="55">
        <v>1</v>
      </c>
      <c r="P21" s="55" t="s">
        <v>10</v>
      </c>
      <c r="R21" s="63">
        <f>Q22/Q23</f>
        <v>0.12669063523405874</v>
      </c>
      <c r="S21" s="49"/>
      <c r="U21" s="52" t="s">
        <v>9</v>
      </c>
      <c r="V21" s="52"/>
      <c r="W21" s="53" t="s">
        <v>41</v>
      </c>
      <c r="X21" s="55">
        <v>1</v>
      </c>
      <c r="Y21" s="55" t="s">
        <v>10</v>
      </c>
      <c r="Z21" s="1"/>
      <c r="AA21" s="63">
        <f>Z22/Z23</f>
        <v>0.10537087227694472</v>
      </c>
      <c r="AB21" s="49"/>
      <c r="AD21" s="52" t="s">
        <v>9</v>
      </c>
      <c r="AE21" s="52"/>
      <c r="AF21" s="53"/>
      <c r="AG21" s="55">
        <v>1</v>
      </c>
      <c r="AH21" s="55" t="s">
        <v>10</v>
      </c>
      <c r="AI21" s="1"/>
      <c r="AJ21" s="63">
        <f>AI22/AI23</f>
        <v>0.10293994040351237</v>
      </c>
    </row>
    <row r="22" spans="1:36" x14ac:dyDescent="0.25">
      <c r="A22" s="49"/>
      <c r="D22" t="s">
        <v>146</v>
      </c>
      <c r="F22" s="122">
        <v>3</v>
      </c>
      <c r="G22" s="3" t="s">
        <v>27</v>
      </c>
      <c r="H22" s="149">
        <f>F22*DONNÉES!F9</f>
        <v>505.92000000000007</v>
      </c>
      <c r="I22" s="125" t="s">
        <v>124</v>
      </c>
      <c r="J22" s="44"/>
      <c r="K22"/>
      <c r="L22"/>
      <c r="M22" t="s">
        <v>149</v>
      </c>
      <c r="N22" s="13"/>
      <c r="O22" s="122">
        <v>29</v>
      </c>
      <c r="P22" s="3" t="s">
        <v>27</v>
      </c>
      <c r="Q22" s="149">
        <f>O22*DONNÉES!L9</f>
        <v>4988.3712000000005</v>
      </c>
      <c r="R22" s="126" t="s">
        <v>125</v>
      </c>
      <c r="S22" s="49"/>
      <c r="V22" t="s">
        <v>67</v>
      </c>
      <c r="W22" s="13"/>
      <c r="X22" s="3">
        <v>24</v>
      </c>
      <c r="Y22" s="3" t="s">
        <v>27</v>
      </c>
      <c r="Z22" s="88">
        <f>X22*DONNÉES!R9</f>
        <v>4210.8733440000005</v>
      </c>
      <c r="AA22" s="8"/>
      <c r="AB22" s="49"/>
      <c r="AE22" t="s">
        <v>67</v>
      </c>
      <c r="AF22" s="13"/>
      <c r="AG22" s="3">
        <f>X22+O22+F22</f>
        <v>56</v>
      </c>
      <c r="AH22" s="3" t="s">
        <v>27</v>
      </c>
      <c r="AI22" s="88">
        <f>AG22*DONNÉES!F9</f>
        <v>9443.84</v>
      </c>
      <c r="AJ22" s="8"/>
    </row>
    <row r="23" spans="1:36" ht="15.75" thickBot="1" x14ac:dyDescent="0.3">
      <c r="A23" s="49"/>
      <c r="B23" s="18" t="s">
        <v>54</v>
      </c>
      <c r="C23" s="18"/>
      <c r="D23" s="18"/>
      <c r="E23" s="19"/>
      <c r="F23" s="20"/>
      <c r="G23" s="20"/>
      <c r="H23" s="21">
        <f>SUM(H8:H22)</f>
        <v>15743.565863</v>
      </c>
      <c r="I23" s="66">
        <f>H23/H51</f>
        <v>0.60565883463654213</v>
      </c>
      <c r="J23" s="45"/>
      <c r="K23" s="18" t="s">
        <v>54</v>
      </c>
      <c r="L23" s="18"/>
      <c r="M23" s="18"/>
      <c r="N23" s="19"/>
      <c r="O23" s="20"/>
      <c r="P23" s="20"/>
      <c r="Q23" s="21">
        <f>SUM(Q8:Q22)</f>
        <v>39374.427247792009</v>
      </c>
      <c r="R23" s="62">
        <f>Q23/Q51</f>
        <v>0.75626352442899158</v>
      </c>
      <c r="S23" s="49"/>
      <c r="T23" s="18" t="s">
        <v>54</v>
      </c>
      <c r="U23" s="18"/>
      <c r="V23" s="18"/>
      <c r="W23" s="19"/>
      <c r="X23" s="20"/>
      <c r="Y23" s="20"/>
      <c r="Z23" s="21">
        <f>SUM(Z8:Z22)</f>
        <v>39962.403774475963</v>
      </c>
      <c r="AA23" s="62">
        <f>Z23/Z51</f>
        <v>0.7504338009551047</v>
      </c>
      <c r="AB23" s="49"/>
      <c r="AC23" s="18" t="s">
        <v>54</v>
      </c>
      <c r="AD23" s="18"/>
      <c r="AE23" s="18"/>
      <c r="AF23" s="19"/>
      <c r="AG23" s="20"/>
      <c r="AH23" s="20"/>
      <c r="AI23" s="21">
        <f>SUM(AI8:AI22)</f>
        <v>91741.261584000007</v>
      </c>
      <c r="AJ23" s="62">
        <f>AI23/AI51</f>
        <v>0.71688648083584738</v>
      </c>
    </row>
    <row r="24" spans="1:36" ht="5.25" customHeight="1" thickTop="1" x14ac:dyDescent="0.25">
      <c r="A24" s="49"/>
      <c r="J24" s="43"/>
      <c r="K24"/>
      <c r="L24"/>
      <c r="M24"/>
      <c r="N24" s="13"/>
      <c r="O24" s="3"/>
      <c r="P24" s="3"/>
      <c r="S24" s="49"/>
      <c r="W24" s="13"/>
      <c r="X24" s="3"/>
      <c r="Y24" s="3"/>
      <c r="Z24" s="1"/>
      <c r="AA24" s="1"/>
      <c r="AB24" s="49"/>
      <c r="AF24" s="13"/>
      <c r="AG24" s="3"/>
      <c r="AH24" s="3"/>
      <c r="AI24" s="1"/>
      <c r="AJ24" s="1"/>
    </row>
    <row r="25" spans="1:36" x14ac:dyDescent="0.25">
      <c r="A25" s="49"/>
      <c r="B25" s="22" t="s">
        <v>53</v>
      </c>
      <c r="C25" s="22"/>
      <c r="D25" s="22"/>
      <c r="E25" s="27"/>
      <c r="F25" s="28"/>
      <c r="G25" s="28"/>
      <c r="H25" s="29"/>
      <c r="I25" s="67"/>
      <c r="J25" s="43"/>
      <c r="K25" s="22" t="s">
        <v>53</v>
      </c>
      <c r="L25" s="22"/>
      <c r="M25" s="22"/>
      <c r="N25" s="27"/>
      <c r="O25" s="28"/>
      <c r="P25" s="28"/>
      <c r="Q25" s="29"/>
      <c r="R25" s="29"/>
      <c r="S25" s="49"/>
      <c r="T25" s="22" t="s">
        <v>53</v>
      </c>
      <c r="U25" s="22"/>
      <c r="V25" s="22"/>
      <c r="W25" s="27"/>
      <c r="X25" s="28"/>
      <c r="Y25" s="28"/>
      <c r="Z25" s="29"/>
      <c r="AA25" s="29"/>
      <c r="AB25" s="49"/>
      <c r="AC25" s="22" t="s">
        <v>53</v>
      </c>
      <c r="AD25" s="22"/>
      <c r="AE25" s="22"/>
      <c r="AF25" s="27"/>
      <c r="AG25" s="28"/>
      <c r="AH25" s="28"/>
      <c r="AI25" s="29"/>
      <c r="AJ25" s="29"/>
    </row>
    <row r="26" spans="1:36" x14ac:dyDescent="0.25">
      <c r="A26" s="49"/>
      <c r="C26" t="s">
        <v>11</v>
      </c>
      <c r="E26" s="13" t="s">
        <v>42</v>
      </c>
      <c r="F26" s="3">
        <v>10</v>
      </c>
      <c r="G26" s="3" t="s">
        <v>12</v>
      </c>
      <c r="H26" s="1">
        <f>F26*DONNÉES!D13</f>
        <v>5069.2976250000002</v>
      </c>
      <c r="J26" s="43"/>
      <c r="K26"/>
      <c r="L26" s="36" t="s">
        <v>11</v>
      </c>
      <c r="M26" s="36"/>
      <c r="N26" s="37" t="s">
        <v>42</v>
      </c>
      <c r="O26" s="3"/>
      <c r="P26" s="38" t="s">
        <v>12</v>
      </c>
      <c r="Q26" s="1">
        <f>O26*DONNÉES!L17</f>
        <v>0</v>
      </c>
      <c r="S26" s="49"/>
      <c r="U26" s="36" t="s">
        <v>11</v>
      </c>
      <c r="V26" s="36"/>
      <c r="W26" s="37" t="s">
        <v>42</v>
      </c>
      <c r="X26" s="3"/>
      <c r="Y26" s="38" t="s">
        <v>12</v>
      </c>
      <c r="Z26" s="1">
        <f>X26*DONNÉES!T17</f>
        <v>0</v>
      </c>
      <c r="AA26" s="1"/>
      <c r="AB26" s="49"/>
      <c r="AD26" s="35" t="s">
        <v>11</v>
      </c>
      <c r="AE26" s="35"/>
      <c r="AF26" s="13" t="s">
        <v>42</v>
      </c>
      <c r="AG26" s="51">
        <f>X26+O26+F26</f>
        <v>10</v>
      </c>
      <c r="AH26" s="51" t="s">
        <v>12</v>
      </c>
      <c r="AI26" s="7">
        <f>Z26+Q26+H26</f>
        <v>5069.2976250000002</v>
      </c>
      <c r="AJ26" s="1"/>
    </row>
    <row r="27" spans="1:36" x14ac:dyDescent="0.25">
      <c r="A27" s="49"/>
      <c r="C27" t="s">
        <v>13</v>
      </c>
      <c r="E27" s="13" t="s">
        <v>43</v>
      </c>
      <c r="F27" s="122">
        <v>0</v>
      </c>
      <c r="G27" s="3" t="s">
        <v>34</v>
      </c>
      <c r="H27" s="144">
        <f>F27*DONNÉES!D14</f>
        <v>0</v>
      </c>
      <c r="I27" s="123" t="s">
        <v>126</v>
      </c>
      <c r="J27" s="46"/>
      <c r="K27"/>
      <c r="L27" s="36" t="s">
        <v>13</v>
      </c>
      <c r="M27" s="36"/>
      <c r="N27" s="37" t="s">
        <v>43</v>
      </c>
      <c r="O27" s="3"/>
      <c r="P27" s="38" t="s">
        <v>34</v>
      </c>
      <c r="Q27" s="40">
        <f>O27*DONNÉES!L18</f>
        <v>0</v>
      </c>
      <c r="R27" s="40"/>
      <c r="S27" s="49"/>
      <c r="U27" s="36" t="s">
        <v>13</v>
      </c>
      <c r="V27" s="36"/>
      <c r="W27" s="37" t="s">
        <v>43</v>
      </c>
      <c r="X27" s="3"/>
      <c r="Y27" s="38" t="s">
        <v>34</v>
      </c>
      <c r="Z27" s="40">
        <f>X27*DONNÉES!T18</f>
        <v>0</v>
      </c>
      <c r="AA27" s="40"/>
      <c r="AB27" s="49"/>
      <c r="AD27" s="35" t="s">
        <v>13</v>
      </c>
      <c r="AE27" s="35"/>
      <c r="AF27" s="13" t="s">
        <v>43</v>
      </c>
      <c r="AG27" s="51">
        <f>X27+O27+F27</f>
        <v>0</v>
      </c>
      <c r="AH27" s="51" t="s">
        <v>34</v>
      </c>
      <c r="AI27" s="7">
        <f t="shared" ref="AI27:AI30" si="0">Z27+Q27+H27</f>
        <v>0</v>
      </c>
      <c r="AJ27" s="40"/>
    </row>
    <row r="28" spans="1:36" x14ac:dyDescent="0.25">
      <c r="A28" s="49"/>
      <c r="C28" t="s">
        <v>14</v>
      </c>
      <c r="E28" s="13" t="s">
        <v>44</v>
      </c>
      <c r="F28" s="3">
        <v>1</v>
      </c>
      <c r="G28" s="3" t="s">
        <v>33</v>
      </c>
      <c r="H28" s="40">
        <f>F28*DONNÉES!D15</f>
        <v>1498.0294113749999</v>
      </c>
      <c r="I28" s="68"/>
      <c r="J28" s="46"/>
      <c r="K28"/>
      <c r="L28" s="36" t="s">
        <v>14</v>
      </c>
      <c r="M28" s="36"/>
      <c r="N28" s="37" t="s">
        <v>44</v>
      </c>
      <c r="O28" s="3"/>
      <c r="P28" s="38" t="s">
        <v>16</v>
      </c>
      <c r="Q28" s="40">
        <f>O28*DONNÉES!L19</f>
        <v>0</v>
      </c>
      <c r="R28" s="40"/>
      <c r="S28" s="49"/>
      <c r="U28" s="36" t="s">
        <v>14</v>
      </c>
      <c r="V28" s="36"/>
      <c r="W28" s="37" t="s">
        <v>44</v>
      </c>
      <c r="X28" s="3"/>
      <c r="Y28" s="38" t="s">
        <v>16</v>
      </c>
      <c r="Z28" s="40">
        <f>X28*DONNÉES!T19</f>
        <v>0</v>
      </c>
      <c r="AA28" s="40"/>
      <c r="AB28" s="49"/>
      <c r="AD28" s="35" t="s">
        <v>14</v>
      </c>
      <c r="AE28" s="35"/>
      <c r="AF28" s="13" t="s">
        <v>44</v>
      </c>
      <c r="AG28" s="51">
        <f>X28+O28+F28</f>
        <v>1</v>
      </c>
      <c r="AH28" s="51" t="s">
        <v>16</v>
      </c>
      <c r="AI28" s="7">
        <f t="shared" si="0"/>
        <v>1498.0294113749999</v>
      </c>
      <c r="AJ28" s="40"/>
    </row>
    <row r="29" spans="1:36" x14ac:dyDescent="0.25">
      <c r="A29" s="49"/>
      <c r="C29" t="s">
        <v>15</v>
      </c>
      <c r="E29" s="13" t="s">
        <v>44</v>
      </c>
      <c r="F29" s="3">
        <v>1</v>
      </c>
      <c r="G29" s="3" t="s">
        <v>15</v>
      </c>
      <c r="H29" s="1">
        <f>F29*DONNÉES!D17</f>
        <v>433.22286787500002</v>
      </c>
      <c r="J29" s="43"/>
      <c r="K29"/>
      <c r="L29" s="36" t="s">
        <v>15</v>
      </c>
      <c r="M29" s="36"/>
      <c r="N29" s="37" t="s">
        <v>44</v>
      </c>
      <c r="O29" s="3"/>
      <c r="P29" s="38" t="s">
        <v>15</v>
      </c>
      <c r="Q29" s="1">
        <f>O29*DONNÉES!L20</f>
        <v>0</v>
      </c>
      <c r="S29" s="49"/>
      <c r="U29" s="36" t="s">
        <v>15</v>
      </c>
      <c r="V29" s="36"/>
      <c r="W29" s="37" t="s">
        <v>44</v>
      </c>
      <c r="X29" s="3"/>
      <c r="Y29" s="38" t="s">
        <v>15</v>
      </c>
      <c r="Z29" s="1">
        <f>X29*DONNÉES!T20</f>
        <v>0</v>
      </c>
      <c r="AA29" s="1"/>
      <c r="AB29" s="49"/>
      <c r="AD29" s="35" t="s">
        <v>15</v>
      </c>
      <c r="AE29" s="35"/>
      <c r="AF29" s="13" t="s">
        <v>44</v>
      </c>
      <c r="AG29" s="51">
        <f>X29+O29+F29</f>
        <v>1</v>
      </c>
      <c r="AH29" s="51" t="s">
        <v>15</v>
      </c>
      <c r="AI29" s="7">
        <f t="shared" si="0"/>
        <v>433.22286787500002</v>
      </c>
      <c r="AJ29" s="1"/>
    </row>
    <row r="30" spans="1:36" x14ac:dyDescent="0.25">
      <c r="A30" s="49"/>
      <c r="C30" t="s">
        <v>17</v>
      </c>
      <c r="E30" s="13" t="s">
        <v>44</v>
      </c>
      <c r="F30" s="3">
        <v>1</v>
      </c>
      <c r="G30" s="3" t="s">
        <v>167</v>
      </c>
      <c r="H30" s="1">
        <f>DONNÉES!D18</f>
        <v>250</v>
      </c>
      <c r="J30" s="43"/>
      <c r="K30"/>
      <c r="L30" s="36" t="s">
        <v>17</v>
      </c>
      <c r="M30" s="36"/>
      <c r="N30" s="37" t="s">
        <v>44</v>
      </c>
      <c r="O30" s="3"/>
      <c r="P30" s="38" t="s">
        <v>18</v>
      </c>
      <c r="Q30" s="1">
        <f>O30*DONNÉES!L21</f>
        <v>0</v>
      </c>
      <c r="S30" s="49"/>
      <c r="U30" s="36" t="s">
        <v>17</v>
      </c>
      <c r="V30" s="36"/>
      <c r="W30" s="37" t="s">
        <v>44</v>
      </c>
      <c r="X30" s="3"/>
      <c r="Y30" s="38" t="s">
        <v>18</v>
      </c>
      <c r="Z30" s="1">
        <f>X30*DONNÉES!T21</f>
        <v>0</v>
      </c>
      <c r="AA30" s="1"/>
      <c r="AB30" s="49"/>
      <c r="AD30" s="35" t="s">
        <v>17</v>
      </c>
      <c r="AE30" s="35"/>
      <c r="AF30" s="13" t="s">
        <v>44</v>
      </c>
      <c r="AG30" s="51">
        <f>X30+O30+F30</f>
        <v>1</v>
      </c>
      <c r="AH30" s="51" t="s">
        <v>18</v>
      </c>
      <c r="AI30" s="7">
        <f t="shared" si="0"/>
        <v>250</v>
      </c>
      <c r="AJ30" s="1"/>
    </row>
    <row r="31" spans="1:36" ht="15.75" thickBot="1" x14ac:dyDescent="0.3">
      <c r="A31" s="49"/>
      <c r="B31" s="18" t="s">
        <v>55</v>
      </c>
      <c r="C31" s="18"/>
      <c r="D31" s="18"/>
      <c r="E31" s="19"/>
      <c r="F31" s="20"/>
      <c r="G31" s="20"/>
      <c r="H31" s="21">
        <f>SUM(H26:H30)</f>
        <v>7250.5499042499996</v>
      </c>
      <c r="I31" s="66">
        <f>H31/H51</f>
        <v>0.27893043060864459</v>
      </c>
      <c r="J31" s="45"/>
      <c r="K31" s="18" t="s">
        <v>55</v>
      </c>
      <c r="L31" s="18"/>
      <c r="M31" s="18"/>
      <c r="N31" s="19"/>
      <c r="O31" s="20"/>
      <c r="P31" s="20"/>
      <c r="Q31" s="21">
        <f>SUM(Q26:Q30)</f>
        <v>0</v>
      </c>
      <c r="R31" s="66">
        <f>Q31/Q51</f>
        <v>0</v>
      </c>
      <c r="S31" s="49"/>
      <c r="T31" s="18" t="s">
        <v>55</v>
      </c>
      <c r="U31" s="18"/>
      <c r="V31" s="18"/>
      <c r="W31" s="19"/>
      <c r="X31" s="20"/>
      <c r="Y31" s="20"/>
      <c r="Z31" s="21">
        <f>SUM(Z26:Z30)</f>
        <v>0</v>
      </c>
      <c r="AA31" s="66">
        <f>Z31/Z51</f>
        <v>0</v>
      </c>
      <c r="AB31" s="49"/>
      <c r="AC31" s="18" t="s">
        <v>55</v>
      </c>
      <c r="AD31" s="18"/>
      <c r="AE31" s="18"/>
      <c r="AF31" s="19"/>
      <c r="AG31" s="20"/>
      <c r="AH31" s="20"/>
      <c r="AI31" s="21">
        <f>SUM(AI26:AI30)</f>
        <v>7250.5499042499996</v>
      </c>
      <c r="AJ31" s="66">
        <f>AI31/AI51</f>
        <v>5.6657398374920433E-2</v>
      </c>
    </row>
    <row r="32" spans="1:36" ht="5.25" customHeight="1" thickTop="1" x14ac:dyDescent="0.25">
      <c r="A32" s="49"/>
      <c r="J32" s="43"/>
      <c r="K32"/>
      <c r="L32"/>
      <c r="M32"/>
      <c r="N32" s="13"/>
      <c r="O32" s="3"/>
      <c r="P32" s="3"/>
      <c r="S32" s="49"/>
      <c r="W32" s="13"/>
      <c r="X32" s="3"/>
      <c r="Y32" s="3"/>
      <c r="Z32" s="1"/>
      <c r="AA32" s="1"/>
      <c r="AB32" s="49"/>
      <c r="AF32" s="13"/>
      <c r="AG32" s="3"/>
      <c r="AH32" s="3"/>
      <c r="AI32" s="1"/>
      <c r="AJ32" s="1"/>
    </row>
    <row r="33" spans="1:36" x14ac:dyDescent="0.25">
      <c r="A33" s="49"/>
      <c r="B33" s="30" t="s">
        <v>56</v>
      </c>
      <c r="C33" s="30"/>
      <c r="D33" s="30"/>
      <c r="E33" s="31"/>
      <c r="F33" s="32"/>
      <c r="G33" s="32"/>
      <c r="H33" s="33"/>
      <c r="I33" s="69"/>
      <c r="J33" s="43"/>
      <c r="K33" s="30" t="s">
        <v>56</v>
      </c>
      <c r="L33" s="30"/>
      <c r="M33" s="30"/>
      <c r="N33" s="31"/>
      <c r="O33" s="32"/>
      <c r="P33" s="32"/>
      <c r="Q33" s="33"/>
      <c r="R33" s="33"/>
      <c r="S33" s="49"/>
      <c r="T33" s="30" t="s">
        <v>56</v>
      </c>
      <c r="U33" s="30"/>
      <c r="V33" s="30"/>
      <c r="W33" s="31"/>
      <c r="X33" s="32"/>
      <c r="Y33" s="32"/>
      <c r="Z33" s="33"/>
      <c r="AA33" s="33"/>
      <c r="AB33" s="49"/>
      <c r="AC33" s="30" t="s">
        <v>56</v>
      </c>
      <c r="AD33" s="30"/>
      <c r="AE33" s="30"/>
      <c r="AF33" s="31"/>
      <c r="AG33" s="32"/>
      <c r="AH33" s="32"/>
      <c r="AI33" s="33"/>
      <c r="AJ33" s="33"/>
    </row>
    <row r="34" spans="1:36" x14ac:dyDescent="0.25">
      <c r="A34" s="49"/>
      <c r="C34" t="s">
        <v>68</v>
      </c>
      <c r="F34" s="3">
        <v>1</v>
      </c>
      <c r="G34" s="3" t="s">
        <v>26</v>
      </c>
      <c r="H34" s="1">
        <f>F34*DONNÉES!D21</f>
        <v>250</v>
      </c>
      <c r="J34" s="43"/>
      <c r="K34"/>
      <c r="L34" t="str">
        <f>C34</f>
        <v>Collations/jeunes x groupe</v>
      </c>
      <c r="M34"/>
      <c r="N34" s="13"/>
      <c r="O34" s="3">
        <v>3</v>
      </c>
      <c r="P34" s="3" t="s">
        <v>26</v>
      </c>
      <c r="Q34" s="1">
        <f>O34*DONNÉES!D21</f>
        <v>750</v>
      </c>
      <c r="S34" s="49"/>
      <c r="U34" t="str">
        <f>L34</f>
        <v>Collations/jeunes x groupe</v>
      </c>
      <c r="W34" s="13"/>
      <c r="X34" s="3">
        <v>3</v>
      </c>
      <c r="Y34" s="3" t="s">
        <v>26</v>
      </c>
      <c r="Z34" s="1">
        <f>X34*DONNÉES!D21</f>
        <v>750</v>
      </c>
      <c r="AA34" s="1"/>
      <c r="AB34" s="49"/>
      <c r="AD34" t="str">
        <f>U34</f>
        <v>Collations/jeunes x groupe</v>
      </c>
      <c r="AF34" s="13"/>
      <c r="AG34" s="51">
        <f t="shared" ref="AG34:AG39" si="1">X34+O34+F34</f>
        <v>7</v>
      </c>
      <c r="AH34" s="3" t="s">
        <v>26</v>
      </c>
      <c r="AI34" s="7">
        <f t="shared" ref="AI34:AI41" si="2">Z34+Q34+H34</f>
        <v>1750</v>
      </c>
      <c r="AJ34" s="1"/>
    </row>
    <row r="35" spans="1:36" x14ac:dyDescent="0.25">
      <c r="A35" s="49"/>
      <c r="C35" s="36" t="s">
        <v>69</v>
      </c>
      <c r="D35" s="36"/>
      <c r="G35" s="38" t="s">
        <v>26</v>
      </c>
      <c r="J35" s="43"/>
      <c r="K35"/>
      <c r="L35" t="str">
        <f>C35</f>
        <v>Collations/jeunes x sous-groupe</v>
      </c>
      <c r="M35"/>
      <c r="N35" s="13"/>
      <c r="O35" s="3">
        <v>3</v>
      </c>
      <c r="P35" s="3" t="s">
        <v>26</v>
      </c>
      <c r="Q35" s="1">
        <f>O35*DONNÉES!D21</f>
        <v>750</v>
      </c>
      <c r="S35" s="49"/>
      <c r="U35" t="str">
        <f>L35</f>
        <v>Collations/jeunes x sous-groupe</v>
      </c>
      <c r="W35" s="13"/>
      <c r="X35" s="3">
        <v>3</v>
      </c>
      <c r="Y35" s="3" t="s">
        <v>26</v>
      </c>
      <c r="Z35" s="1">
        <f>X35*DONNÉES!D21</f>
        <v>750</v>
      </c>
      <c r="AA35" s="1"/>
      <c r="AB35" s="49"/>
      <c r="AD35" t="str">
        <f>U35</f>
        <v>Collations/jeunes x sous-groupe</v>
      </c>
      <c r="AF35" s="13"/>
      <c r="AG35" s="51">
        <f t="shared" si="1"/>
        <v>6</v>
      </c>
      <c r="AH35" s="3" t="s">
        <v>26</v>
      </c>
      <c r="AI35" s="7">
        <f t="shared" si="2"/>
        <v>1500</v>
      </c>
      <c r="AJ35" s="1"/>
    </row>
    <row r="36" spans="1:36" x14ac:dyDescent="0.25">
      <c r="A36" s="49"/>
      <c r="C36" t="s">
        <v>19</v>
      </c>
      <c r="E36" s="13" t="s">
        <v>45</v>
      </c>
      <c r="F36" s="3">
        <v>8</v>
      </c>
      <c r="G36" s="3" t="s">
        <v>20</v>
      </c>
      <c r="H36" s="1">
        <f>F36*DONNÉES!D22</f>
        <v>800</v>
      </c>
      <c r="J36" s="43"/>
      <c r="K36"/>
      <c r="L36" t="s">
        <v>19</v>
      </c>
      <c r="M36"/>
      <c r="N36" s="13" t="s">
        <v>45</v>
      </c>
      <c r="O36" s="3">
        <v>36</v>
      </c>
      <c r="P36" s="3" t="s">
        <v>20</v>
      </c>
      <c r="Q36" s="1">
        <f>O36*DONNÉES!D22</f>
        <v>3600</v>
      </c>
      <c r="S36" s="49"/>
      <c r="U36" t="s">
        <v>19</v>
      </c>
      <c r="W36" s="13" t="s">
        <v>45</v>
      </c>
      <c r="X36" s="3">
        <v>36</v>
      </c>
      <c r="Y36" s="3" t="s">
        <v>20</v>
      </c>
      <c r="Z36" s="1">
        <f>X36*DONNÉES!D22</f>
        <v>3600</v>
      </c>
      <c r="AA36" s="1"/>
      <c r="AB36" s="49"/>
      <c r="AD36" t="s">
        <v>19</v>
      </c>
      <c r="AF36" s="13" t="s">
        <v>45</v>
      </c>
      <c r="AG36" s="51">
        <f t="shared" si="1"/>
        <v>80</v>
      </c>
      <c r="AH36" s="3" t="s">
        <v>20</v>
      </c>
      <c r="AI36" s="7">
        <f t="shared" si="2"/>
        <v>8000</v>
      </c>
      <c r="AJ36" s="1"/>
    </row>
    <row r="37" spans="1:36" x14ac:dyDescent="0.25">
      <c r="A37" s="49"/>
      <c r="C37" s="36" t="s">
        <v>74</v>
      </c>
      <c r="J37" s="43"/>
      <c r="K37"/>
      <c r="L37" t="s">
        <v>74</v>
      </c>
      <c r="M37"/>
      <c r="N37" s="13" t="s">
        <v>76</v>
      </c>
      <c r="O37" s="122">
        <v>0.5</v>
      </c>
      <c r="P37" s="3" t="s">
        <v>36</v>
      </c>
      <c r="Q37" s="144">
        <f>O37*DONNÉES!D30</f>
        <v>1000</v>
      </c>
      <c r="R37" s="124" t="s">
        <v>132</v>
      </c>
      <c r="S37" s="49"/>
      <c r="U37" t="s">
        <v>74</v>
      </c>
      <c r="W37" s="13" t="s">
        <v>76</v>
      </c>
      <c r="X37" s="3">
        <v>0.5</v>
      </c>
      <c r="Y37" s="3" t="s">
        <v>36</v>
      </c>
      <c r="Z37" s="1">
        <f>X37*DONNÉES!D30</f>
        <v>1000</v>
      </c>
      <c r="AA37" s="1"/>
      <c r="AB37" s="49"/>
      <c r="AD37" t="s">
        <v>74</v>
      </c>
      <c r="AF37" s="13" t="s">
        <v>76</v>
      </c>
      <c r="AG37" s="51">
        <f t="shared" si="1"/>
        <v>1</v>
      </c>
      <c r="AH37" s="3" t="s">
        <v>36</v>
      </c>
      <c r="AI37" s="7">
        <f t="shared" si="2"/>
        <v>2000</v>
      </c>
      <c r="AJ37" s="1"/>
    </row>
    <row r="38" spans="1:36" x14ac:dyDescent="0.25">
      <c r="A38" s="49"/>
      <c r="C38" s="36" t="s">
        <v>70</v>
      </c>
      <c r="G38" s="38" t="s">
        <v>71</v>
      </c>
      <c r="J38" s="43"/>
      <c r="K38"/>
      <c r="L38" t="s">
        <v>70</v>
      </c>
      <c r="N38" s="13" t="s">
        <v>75</v>
      </c>
      <c r="O38" s="39">
        <v>20</v>
      </c>
      <c r="P38" s="7" t="s">
        <v>72</v>
      </c>
      <c r="Q38" s="1">
        <f>O38*DONNÉES!D29</f>
        <v>5000</v>
      </c>
      <c r="S38" s="49"/>
      <c r="U38" t="s">
        <v>70</v>
      </c>
      <c r="V38" s="1"/>
      <c r="W38" s="13" t="s">
        <v>75</v>
      </c>
      <c r="X38" s="39">
        <v>20</v>
      </c>
      <c r="Y38" s="7" t="s">
        <v>72</v>
      </c>
      <c r="Z38" s="1">
        <f>X38*DONNÉES!D29</f>
        <v>5000</v>
      </c>
      <c r="AA38" s="1"/>
      <c r="AB38" s="49"/>
      <c r="AD38" t="s">
        <v>70</v>
      </c>
      <c r="AE38" s="1"/>
      <c r="AF38" s="13" t="s">
        <v>75</v>
      </c>
      <c r="AG38" s="51">
        <f t="shared" si="1"/>
        <v>40</v>
      </c>
      <c r="AH38" s="7" t="s">
        <v>72</v>
      </c>
      <c r="AI38" s="7">
        <f t="shared" si="2"/>
        <v>10000</v>
      </c>
      <c r="AJ38" s="1"/>
    </row>
    <row r="39" spans="1:36" x14ac:dyDescent="0.25">
      <c r="A39" s="49"/>
      <c r="C39" t="s">
        <v>21</v>
      </c>
      <c r="F39" s="122">
        <v>2</v>
      </c>
      <c r="G39" s="3" t="s">
        <v>36</v>
      </c>
      <c r="H39" s="144">
        <f>F39*DONNÉES!D28</f>
        <v>1000</v>
      </c>
      <c r="I39" s="123" t="s">
        <v>128</v>
      </c>
      <c r="J39" s="43"/>
      <c r="K39"/>
      <c r="L39" t="s">
        <v>21</v>
      </c>
      <c r="M39"/>
      <c r="N39" s="13"/>
      <c r="O39" s="122">
        <v>0</v>
      </c>
      <c r="P39" s="3" t="s">
        <v>36</v>
      </c>
      <c r="Q39" s="144">
        <f>O39*DONNÉES!D28</f>
        <v>0</v>
      </c>
      <c r="R39" s="120" t="s">
        <v>130</v>
      </c>
      <c r="S39" s="49"/>
      <c r="U39" t="s">
        <v>21</v>
      </c>
      <c r="W39" s="13"/>
      <c r="X39" s="3">
        <v>1.2</v>
      </c>
      <c r="Y39" s="3" t="s">
        <v>36</v>
      </c>
      <c r="Z39" s="1">
        <f>X39*DONNÉES!D28</f>
        <v>600</v>
      </c>
      <c r="AA39" s="1"/>
      <c r="AB39" s="49"/>
      <c r="AD39" t="s">
        <v>21</v>
      </c>
      <c r="AF39" s="13"/>
      <c r="AG39" s="51">
        <f t="shared" si="1"/>
        <v>3.2</v>
      </c>
      <c r="AH39" s="3" t="s">
        <v>36</v>
      </c>
      <c r="AI39" s="7">
        <f t="shared" si="2"/>
        <v>1600</v>
      </c>
      <c r="AJ39" s="1"/>
    </row>
    <row r="40" spans="1:36" x14ac:dyDescent="0.25">
      <c r="A40" s="49"/>
      <c r="C40" s="35" t="s">
        <v>173</v>
      </c>
      <c r="E40" s="13" t="s">
        <v>175</v>
      </c>
      <c r="F40" s="122"/>
      <c r="H40" s="144">
        <v>100</v>
      </c>
      <c r="I40" s="123" t="s">
        <v>176</v>
      </c>
      <c r="J40" s="43"/>
      <c r="K40"/>
      <c r="L40" s="35" t="s">
        <v>173</v>
      </c>
      <c r="M40"/>
      <c r="N40" s="13" t="s">
        <v>175</v>
      </c>
      <c r="O40" s="122"/>
      <c r="P40" s="3"/>
      <c r="Q40" s="40">
        <v>100</v>
      </c>
      <c r="R40" s="123"/>
      <c r="S40" s="49"/>
      <c r="U40" s="35" t="s">
        <v>173</v>
      </c>
      <c r="W40" s="13" t="s">
        <v>175</v>
      </c>
      <c r="X40" s="3"/>
      <c r="Y40" s="3"/>
      <c r="Z40" s="40">
        <v>100</v>
      </c>
      <c r="AA40" s="171"/>
      <c r="AB40" s="49"/>
      <c r="AD40" s="35" t="s">
        <v>173</v>
      </c>
      <c r="AF40" s="13" t="s">
        <v>175</v>
      </c>
      <c r="AG40" s="51"/>
      <c r="AH40" s="3"/>
      <c r="AI40" s="7">
        <f t="shared" si="2"/>
        <v>300</v>
      </c>
      <c r="AJ40" s="1"/>
    </row>
    <row r="41" spans="1:36" x14ac:dyDescent="0.25">
      <c r="A41" s="49"/>
      <c r="C41" s="35" t="s">
        <v>138</v>
      </c>
      <c r="E41" s="13" t="s">
        <v>141</v>
      </c>
      <c r="F41" s="122"/>
      <c r="H41" s="144">
        <v>500</v>
      </c>
      <c r="I41" s="123" t="s">
        <v>139</v>
      </c>
      <c r="J41" s="43"/>
      <c r="K41"/>
      <c r="L41" t="str">
        <f>C41</f>
        <v xml:space="preserve">Outils de communication </v>
      </c>
      <c r="M41"/>
      <c r="N41" s="13" t="s">
        <v>141</v>
      </c>
      <c r="O41" s="122"/>
      <c r="P41" s="3"/>
      <c r="Q41" s="40">
        <v>500</v>
      </c>
      <c r="R41" s="123"/>
      <c r="S41" s="49"/>
      <c r="U41" t="str">
        <f>L41</f>
        <v xml:space="preserve">Outils de communication </v>
      </c>
      <c r="W41" s="13" t="s">
        <v>141</v>
      </c>
      <c r="X41" s="3"/>
      <c r="Y41" s="3"/>
      <c r="Z41" s="40">
        <v>500</v>
      </c>
      <c r="AA41" s="171"/>
      <c r="AB41" s="49"/>
      <c r="AD41" t="str">
        <f>U41</f>
        <v xml:space="preserve">Outils de communication </v>
      </c>
      <c r="AF41" s="13" t="s">
        <v>141</v>
      </c>
      <c r="AG41" s="51"/>
      <c r="AH41" s="3"/>
      <c r="AI41" s="7">
        <f t="shared" si="2"/>
        <v>1500</v>
      </c>
      <c r="AJ41" s="1"/>
    </row>
    <row r="42" spans="1:36" ht="15.75" thickBot="1" x14ac:dyDescent="0.3">
      <c r="A42" s="49"/>
      <c r="B42" s="18" t="s">
        <v>54</v>
      </c>
      <c r="C42" s="18"/>
      <c r="D42" s="18"/>
      <c r="E42" s="19"/>
      <c r="F42" s="20"/>
      <c r="G42" s="20"/>
      <c r="H42" s="21">
        <f>SUM(H34:H41)</f>
        <v>2650</v>
      </c>
      <c r="I42" s="70">
        <f>H42/H51</f>
        <v>0.10194614903341842</v>
      </c>
      <c r="J42" s="45"/>
      <c r="K42" s="18" t="s">
        <v>54</v>
      </c>
      <c r="L42" s="18"/>
      <c r="M42" s="18"/>
      <c r="N42" s="19"/>
      <c r="O42" s="20"/>
      <c r="P42" s="20"/>
      <c r="Q42" s="21">
        <f>SUM(Q34:Q41)</f>
        <v>11700</v>
      </c>
      <c r="R42" s="66">
        <f>Q42/Q51</f>
        <v>0.22472157322149708</v>
      </c>
      <c r="S42" s="49"/>
      <c r="T42" s="18" t="s">
        <v>54</v>
      </c>
      <c r="U42" s="18"/>
      <c r="V42" s="18"/>
      <c r="W42" s="19"/>
      <c r="X42" s="20"/>
      <c r="Y42" s="20"/>
      <c r="Z42" s="21">
        <f>SUM(Z34:Z41)</f>
        <v>12300</v>
      </c>
      <c r="AA42" s="66">
        <f>Z42/Z51</f>
        <v>0.23097548895802947</v>
      </c>
      <c r="AB42" s="49"/>
      <c r="AC42" s="18" t="s">
        <v>54</v>
      </c>
      <c r="AD42" s="18"/>
      <c r="AE42" s="18"/>
      <c r="AF42" s="19"/>
      <c r="AG42" s="20"/>
      <c r="AH42" s="20"/>
      <c r="AI42" s="21">
        <f>SUM(AI34:AI41)</f>
        <v>26650</v>
      </c>
      <c r="AJ42" s="66">
        <f>AI42/AI51</f>
        <v>0.208248986164011</v>
      </c>
    </row>
    <row r="43" spans="1:36" ht="6" customHeight="1" thickTop="1" x14ac:dyDescent="0.25">
      <c r="A43" s="49"/>
      <c r="J43" s="43"/>
      <c r="K43"/>
      <c r="L43"/>
      <c r="M43"/>
      <c r="N43" s="13"/>
      <c r="O43" s="3"/>
      <c r="P43" s="3"/>
      <c r="S43" s="49"/>
      <c r="W43" s="13"/>
      <c r="X43" s="3"/>
      <c r="Y43" s="3"/>
      <c r="Z43" s="1"/>
      <c r="AA43" s="1"/>
      <c r="AB43" s="49"/>
      <c r="AF43" s="13"/>
      <c r="AG43" s="3"/>
      <c r="AH43" s="3"/>
      <c r="AI43" s="1"/>
      <c r="AJ43" s="1"/>
    </row>
    <row r="44" spans="1:36" x14ac:dyDescent="0.25">
      <c r="A44" s="49"/>
      <c r="B44" s="30" t="s">
        <v>57</v>
      </c>
      <c r="C44" s="30"/>
      <c r="D44" s="30"/>
      <c r="E44" s="31"/>
      <c r="F44" s="32"/>
      <c r="G44" s="32"/>
      <c r="H44" s="33"/>
      <c r="I44" s="69"/>
      <c r="J44" s="43"/>
      <c r="K44" s="30" t="s">
        <v>57</v>
      </c>
      <c r="L44" s="30"/>
      <c r="M44" s="30"/>
      <c r="N44" s="31"/>
      <c r="O44" s="32"/>
      <c r="P44" s="32"/>
      <c r="Q44" s="33"/>
      <c r="R44" s="33"/>
      <c r="S44" s="49"/>
      <c r="T44" s="30" t="s">
        <v>57</v>
      </c>
      <c r="U44" s="30"/>
      <c r="V44" s="30"/>
      <c r="W44" s="31" t="s">
        <v>46</v>
      </c>
      <c r="X44" s="32"/>
      <c r="Y44" s="32"/>
      <c r="Z44" s="33"/>
      <c r="AA44" s="33"/>
      <c r="AB44" s="49"/>
      <c r="AC44" s="30" t="s">
        <v>57</v>
      </c>
      <c r="AD44" s="30"/>
      <c r="AE44" s="30"/>
      <c r="AF44" s="31" t="s">
        <v>46</v>
      </c>
      <c r="AG44" s="32"/>
      <c r="AH44" s="32"/>
      <c r="AI44" s="33"/>
      <c r="AJ44" s="33"/>
    </row>
    <row r="45" spans="1:36" x14ac:dyDescent="0.25">
      <c r="A45" s="49"/>
      <c r="C45" t="s">
        <v>22</v>
      </c>
      <c r="E45" s="13" t="s">
        <v>46</v>
      </c>
      <c r="F45" s="3">
        <v>500</v>
      </c>
      <c r="G45" s="3" t="s">
        <v>23</v>
      </c>
      <c r="H45" s="40">
        <f>F45*DONNÉES!D34</f>
        <v>250</v>
      </c>
      <c r="I45" s="68"/>
      <c r="J45" s="46"/>
      <c r="K45"/>
      <c r="L45" t="s">
        <v>22</v>
      </c>
      <c r="M45"/>
      <c r="N45" s="13" t="s">
        <v>46</v>
      </c>
      <c r="O45" s="3">
        <v>1500</v>
      </c>
      <c r="P45" s="3" t="s">
        <v>23</v>
      </c>
      <c r="Q45" s="40">
        <f>O45*DONNÉES!D34</f>
        <v>750</v>
      </c>
      <c r="R45" s="4"/>
      <c r="S45" s="49"/>
      <c r="U45" t="s">
        <v>22</v>
      </c>
      <c r="W45" s="13" t="s">
        <v>46</v>
      </c>
      <c r="X45" s="3">
        <v>1500</v>
      </c>
      <c r="Y45" s="3" t="s">
        <v>23</v>
      </c>
      <c r="Z45" s="40">
        <f>X45*DONNÉES!D34</f>
        <v>750</v>
      </c>
      <c r="AA45" s="4"/>
      <c r="AB45" s="49"/>
      <c r="AD45" t="s">
        <v>22</v>
      </c>
      <c r="AF45" s="13"/>
      <c r="AG45" s="51">
        <f>X45+O45+F45</f>
        <v>3500</v>
      </c>
      <c r="AH45" s="3" t="s">
        <v>23</v>
      </c>
      <c r="AI45" s="7">
        <f t="shared" ref="AI45:AI46" si="3">Z45+Q45+H45</f>
        <v>1750</v>
      </c>
      <c r="AJ45" s="4"/>
    </row>
    <row r="46" spans="1:36" x14ac:dyDescent="0.25">
      <c r="A46" s="49"/>
      <c r="C46" t="s">
        <v>24</v>
      </c>
      <c r="E46" s="13" t="s">
        <v>46</v>
      </c>
      <c r="F46" s="3">
        <v>25</v>
      </c>
      <c r="G46" s="3" t="s">
        <v>39</v>
      </c>
      <c r="H46" s="1">
        <f>F46*DONNÉES!D35</f>
        <v>100</v>
      </c>
      <c r="J46" s="43"/>
      <c r="K46"/>
      <c r="L46" t="s">
        <v>24</v>
      </c>
      <c r="M46"/>
      <c r="N46" s="13" t="s">
        <v>46</v>
      </c>
      <c r="O46" s="3">
        <v>60</v>
      </c>
      <c r="P46" s="3" t="s">
        <v>39</v>
      </c>
      <c r="Q46" s="1">
        <f>O46*DONNÉES!D35</f>
        <v>240</v>
      </c>
      <c r="S46" s="49"/>
      <c r="U46" t="s">
        <v>24</v>
      </c>
      <c r="W46" s="13" t="s">
        <v>46</v>
      </c>
      <c r="X46" s="3">
        <v>60</v>
      </c>
      <c r="Y46" s="3" t="s">
        <v>39</v>
      </c>
      <c r="Z46" s="1">
        <f>X46*DONNÉES!D35</f>
        <v>240</v>
      </c>
      <c r="AA46" s="1"/>
      <c r="AB46" s="49"/>
      <c r="AD46" t="s">
        <v>24</v>
      </c>
      <c r="AF46" s="13"/>
      <c r="AG46" s="51">
        <f>X46+O46+F46</f>
        <v>145</v>
      </c>
      <c r="AH46" s="3" t="s">
        <v>39</v>
      </c>
      <c r="AI46" s="7">
        <f t="shared" si="3"/>
        <v>580</v>
      </c>
      <c r="AJ46" s="1"/>
    </row>
    <row r="47" spans="1:36" ht="15.75" thickBot="1" x14ac:dyDescent="0.3">
      <c r="A47" s="49"/>
      <c r="B47" s="18" t="s">
        <v>54</v>
      </c>
      <c r="C47" s="18"/>
      <c r="D47" s="18"/>
      <c r="E47" s="19"/>
      <c r="F47" s="20"/>
      <c r="G47" s="20"/>
      <c r="H47" s="21">
        <f>SUM(H45:H46)</f>
        <v>350</v>
      </c>
      <c r="I47" s="70">
        <f>H47/H51</f>
        <v>1.3464585721394886E-2</v>
      </c>
      <c r="J47" s="45"/>
      <c r="K47" s="18" t="s">
        <v>54</v>
      </c>
      <c r="L47" s="18"/>
      <c r="M47" s="18"/>
      <c r="N47" s="19"/>
      <c r="O47" s="20"/>
      <c r="P47" s="20"/>
      <c r="Q47" s="21">
        <f>SUM(Q45:Q46)</f>
        <v>990</v>
      </c>
      <c r="R47" s="66">
        <f>Q47/Q51</f>
        <v>1.9014902349511292E-2</v>
      </c>
      <c r="S47" s="49"/>
      <c r="T47" s="18" t="s">
        <v>54</v>
      </c>
      <c r="U47" s="18"/>
      <c r="V47" s="18"/>
      <c r="W47" s="19"/>
      <c r="X47" s="20"/>
      <c r="Y47" s="20"/>
      <c r="Z47" s="21">
        <f>SUM(Z45:Z46)</f>
        <v>990</v>
      </c>
      <c r="AA47" s="66">
        <f>Z47/Z51</f>
        <v>1.8590710086865789E-2</v>
      </c>
      <c r="AB47" s="49"/>
      <c r="AC47" s="18" t="s">
        <v>54</v>
      </c>
      <c r="AD47" s="18"/>
      <c r="AE47" s="18"/>
      <c r="AF47" s="19"/>
      <c r="AG47" s="20"/>
      <c r="AH47" s="20"/>
      <c r="AI47" s="21">
        <f>SUM(AI45:AI46)</f>
        <v>2330</v>
      </c>
      <c r="AJ47" s="66">
        <f>AI47/AI51</f>
        <v>1.8207134625221225E-2</v>
      </c>
    </row>
    <row r="48" spans="1:36" ht="6" customHeight="1" thickTop="1" x14ac:dyDescent="0.25">
      <c r="A48" s="49"/>
      <c r="B48" s="89"/>
      <c r="C48" s="89"/>
      <c r="D48" s="89"/>
      <c r="E48" s="90"/>
      <c r="F48" s="91"/>
      <c r="G48" s="91"/>
      <c r="H48" s="92"/>
      <c r="I48" s="93"/>
      <c r="J48" s="45"/>
      <c r="K48" s="89"/>
      <c r="L48" s="89"/>
      <c r="M48" s="89"/>
      <c r="N48" s="90"/>
      <c r="O48" s="91"/>
      <c r="P48" s="91"/>
      <c r="Q48" s="92"/>
      <c r="R48" s="94"/>
      <c r="S48" s="49"/>
      <c r="T48" s="89"/>
      <c r="U48" s="89"/>
      <c r="V48" s="89"/>
      <c r="W48" s="90"/>
      <c r="X48" s="91"/>
      <c r="Y48" s="91"/>
      <c r="Z48" s="92"/>
      <c r="AA48" s="94"/>
      <c r="AB48" s="49"/>
      <c r="AC48" s="89"/>
      <c r="AD48" s="89"/>
      <c r="AE48" s="89"/>
      <c r="AF48" s="90"/>
      <c r="AG48" s="91"/>
      <c r="AH48" s="91"/>
      <c r="AI48" s="92"/>
      <c r="AJ48" s="94"/>
    </row>
    <row r="49" spans="1:36" x14ac:dyDescent="0.25">
      <c r="A49" s="49"/>
      <c r="B49" s="96" t="s">
        <v>105</v>
      </c>
      <c r="C49" s="96"/>
      <c r="D49" s="96"/>
      <c r="E49" s="97" t="s">
        <v>107</v>
      </c>
      <c r="F49" s="98"/>
      <c r="G49" s="98"/>
      <c r="H49" s="99">
        <f>IF(H51&lt;50000,-50000+H51,H51-DONNÉES!D4)</f>
        <v>-24005.884232750002</v>
      </c>
      <c r="I49" s="100"/>
      <c r="J49" s="45"/>
      <c r="K49" s="96" t="s">
        <v>105</v>
      </c>
      <c r="L49" s="96"/>
      <c r="M49" s="96"/>
      <c r="N49" s="97" t="s">
        <v>107</v>
      </c>
      <c r="O49" s="98"/>
      <c r="P49" s="98"/>
      <c r="Q49" s="99">
        <f>IF(Q51&lt;50000,0,(Q51-DONNÉES!J4))</f>
        <v>2064.4272477920094</v>
      </c>
      <c r="R49" s="101"/>
      <c r="S49" s="49"/>
      <c r="T49" s="96" t="s">
        <v>105</v>
      </c>
      <c r="U49" s="96"/>
      <c r="V49" s="96"/>
      <c r="W49" s="97" t="s">
        <v>107</v>
      </c>
      <c r="X49" s="98"/>
      <c r="Y49" s="98"/>
      <c r="Z49" s="99">
        <f>IF(Z51&lt;50000,0,(Z51-DONNÉES!P4))</f>
        <v>3252.4037744759626</v>
      </c>
      <c r="AA49" s="101"/>
      <c r="AB49" s="49"/>
      <c r="AC49" s="96" t="s">
        <v>105</v>
      </c>
      <c r="AD49" s="96"/>
      <c r="AE49" s="96"/>
      <c r="AF49" s="97" t="s">
        <v>107</v>
      </c>
      <c r="AG49" s="98"/>
      <c r="AH49" s="98"/>
      <c r="AI49" s="99">
        <f>Z49+Q49+H49</f>
        <v>-18689.05321048203</v>
      </c>
      <c r="AJ49" s="101"/>
    </row>
    <row r="50" spans="1:36" ht="5.25" customHeight="1" x14ac:dyDescent="0.25">
      <c r="A50" s="49"/>
      <c r="J50" s="43"/>
      <c r="K50"/>
      <c r="L50"/>
      <c r="M50"/>
      <c r="N50" s="13"/>
      <c r="O50" s="3"/>
      <c r="P50" s="3"/>
      <c r="S50" s="49"/>
      <c r="W50" s="13"/>
      <c r="X50" s="3"/>
      <c r="Y50" s="3"/>
      <c r="Z50" s="1"/>
      <c r="AA50" s="1"/>
      <c r="AB50" s="49"/>
      <c r="AF50" s="13"/>
      <c r="AG50" s="3"/>
      <c r="AH50" s="3"/>
      <c r="AI50" s="1"/>
    </row>
    <row r="51" spans="1:36" ht="19.5" thickBot="1" x14ac:dyDescent="0.35">
      <c r="A51" s="49"/>
      <c r="B51" s="201" t="s">
        <v>90</v>
      </c>
      <c r="C51" s="201"/>
      <c r="D51" s="201"/>
      <c r="E51" s="201"/>
      <c r="F51" s="201"/>
      <c r="G51" s="201"/>
      <c r="H51" s="34">
        <f>H47+H42+H31+H23</f>
        <v>25994.115767249998</v>
      </c>
      <c r="I51" s="155">
        <f>H51/50000</f>
        <v>0.51988231534499996</v>
      </c>
      <c r="J51" s="43"/>
      <c r="K51" s="202" t="s">
        <v>91</v>
      </c>
      <c r="L51" s="202"/>
      <c r="M51" s="202"/>
      <c r="N51" s="202"/>
      <c r="O51" s="202"/>
      <c r="P51" s="202"/>
      <c r="Q51" s="157">
        <f>Q47+Q42+Q31+Q23</f>
        <v>52064.427247792009</v>
      </c>
      <c r="R51" s="158">
        <f>Q51/50000</f>
        <v>1.0412885449558402</v>
      </c>
      <c r="S51" s="49"/>
      <c r="T51" s="203" t="s">
        <v>92</v>
      </c>
      <c r="U51" s="203"/>
      <c r="V51" s="203"/>
      <c r="W51" s="203"/>
      <c r="X51" s="203"/>
      <c r="Y51" s="203"/>
      <c r="Z51" s="59">
        <f>Z47+Z42+Z31+Z23</f>
        <v>53252.403774475963</v>
      </c>
      <c r="AA51" s="156">
        <f>Z51/50000</f>
        <v>1.0650480754895193</v>
      </c>
      <c r="AB51" s="49"/>
      <c r="AC51" s="204" t="s">
        <v>93</v>
      </c>
      <c r="AD51" s="204"/>
      <c r="AE51" s="204"/>
      <c r="AF51" s="204"/>
      <c r="AG51" s="204"/>
      <c r="AH51" s="204"/>
      <c r="AI51" s="60">
        <f>AI47+AI42+AI31+AI23</f>
        <v>127971.81148825001</v>
      </c>
      <c r="AJ51" s="159">
        <f>AI51/150000</f>
        <v>0.85314540992166676</v>
      </c>
    </row>
    <row r="52" spans="1:36" ht="7.5" customHeight="1" x14ac:dyDescent="0.25">
      <c r="D52" s="105"/>
      <c r="E52" s="197"/>
      <c r="F52" s="197"/>
      <c r="G52" s="197"/>
    </row>
    <row r="53" spans="1:36" x14ac:dyDescent="0.25">
      <c r="A53" s="109" t="s">
        <v>115</v>
      </c>
      <c r="B53" s="110"/>
      <c r="C53" s="110"/>
      <c r="D53" s="110"/>
      <c r="E53" s="111"/>
      <c r="F53" s="112"/>
      <c r="G53" s="112"/>
      <c r="H53" s="113"/>
      <c r="I53" s="114" t="s">
        <v>116</v>
      </c>
      <c r="J53" s="116" t="s">
        <v>115</v>
      </c>
      <c r="K53" s="117"/>
      <c r="L53" s="117"/>
      <c r="M53" s="117"/>
      <c r="N53" s="117"/>
      <c r="O53" s="117"/>
      <c r="P53" s="117"/>
      <c r="Q53" s="117"/>
      <c r="R53" s="118" t="s">
        <v>116</v>
      </c>
      <c r="S53" s="150" t="s">
        <v>115</v>
      </c>
      <c r="T53" s="151"/>
      <c r="U53" s="151"/>
      <c r="V53" s="151"/>
      <c r="W53" s="151"/>
      <c r="X53" s="151"/>
      <c r="Y53" s="151"/>
      <c r="Z53" s="151"/>
      <c r="AA53" s="152" t="s">
        <v>116</v>
      </c>
    </row>
    <row r="54" spans="1:36" x14ac:dyDescent="0.25">
      <c r="A54" s="127" t="s">
        <v>117</v>
      </c>
      <c r="D54" t="s">
        <v>144</v>
      </c>
      <c r="H54" s="195">
        <v>43425</v>
      </c>
      <c r="I54" s="195"/>
      <c r="J54" s="128" t="s">
        <v>118</v>
      </c>
      <c r="K54" s="121"/>
      <c r="M54" s="1" t="s">
        <v>148</v>
      </c>
      <c r="Q54" s="195">
        <v>43425</v>
      </c>
      <c r="R54" s="195"/>
    </row>
    <row r="55" spans="1:36" x14ac:dyDescent="0.25">
      <c r="A55" s="127" t="s">
        <v>119</v>
      </c>
      <c r="D55" t="s">
        <v>122</v>
      </c>
      <c r="H55" s="195">
        <v>43405</v>
      </c>
      <c r="I55" s="195"/>
      <c r="J55" s="128" t="s">
        <v>120</v>
      </c>
      <c r="M55" s="1" t="s">
        <v>121</v>
      </c>
      <c r="Q55" s="195">
        <v>43405</v>
      </c>
      <c r="R55" s="195"/>
    </row>
    <row r="56" spans="1:36" x14ac:dyDescent="0.25">
      <c r="A56" s="127" t="s">
        <v>124</v>
      </c>
      <c r="D56" t="s">
        <v>144</v>
      </c>
      <c r="H56" s="195">
        <v>43425</v>
      </c>
      <c r="I56" s="195"/>
      <c r="J56" s="128" t="s">
        <v>125</v>
      </c>
      <c r="M56" s="1" t="s">
        <v>148</v>
      </c>
      <c r="Q56" s="195">
        <v>43425</v>
      </c>
      <c r="R56" s="195"/>
    </row>
    <row r="57" spans="1:36" x14ac:dyDescent="0.25">
      <c r="A57" s="127" t="s">
        <v>126</v>
      </c>
      <c r="B57" s="107"/>
      <c r="D57" t="s">
        <v>127</v>
      </c>
      <c r="H57" s="195">
        <v>43405</v>
      </c>
      <c r="I57" s="195"/>
      <c r="J57" s="128" t="s">
        <v>130</v>
      </c>
      <c r="M57" s="1" t="s">
        <v>131</v>
      </c>
      <c r="Q57" s="195">
        <v>43405</v>
      </c>
      <c r="R57" s="195"/>
    </row>
    <row r="58" spans="1:36" x14ac:dyDescent="0.25">
      <c r="A58" s="127" t="s">
        <v>128</v>
      </c>
      <c r="D58" t="s">
        <v>129</v>
      </c>
      <c r="H58" s="195">
        <v>43405</v>
      </c>
      <c r="I58" s="195"/>
      <c r="J58" s="128" t="s">
        <v>132</v>
      </c>
      <c r="M58" s="1" t="s">
        <v>133</v>
      </c>
      <c r="Q58" s="195">
        <v>43405</v>
      </c>
      <c r="R58" s="195"/>
    </row>
    <row r="59" spans="1:36" x14ac:dyDescent="0.25">
      <c r="A59" s="127" t="s">
        <v>139</v>
      </c>
      <c r="D59" t="s">
        <v>140</v>
      </c>
      <c r="H59" s="195">
        <v>43417</v>
      </c>
      <c r="I59" s="195"/>
      <c r="J59" s="128" t="s">
        <v>154</v>
      </c>
      <c r="M59" s="1" t="s">
        <v>155</v>
      </c>
      <c r="Q59" s="195">
        <v>43425</v>
      </c>
      <c r="R59" s="207"/>
    </row>
    <row r="60" spans="1:36" x14ac:dyDescent="0.25">
      <c r="A60" s="127" t="s">
        <v>151</v>
      </c>
      <c r="D60" t="s">
        <v>152</v>
      </c>
      <c r="H60" s="195">
        <v>43425</v>
      </c>
      <c r="I60" s="195"/>
      <c r="J60" s="145"/>
    </row>
    <row r="61" spans="1:36" x14ac:dyDescent="0.25">
      <c r="A61" s="127" t="s">
        <v>176</v>
      </c>
      <c r="D61" t="s">
        <v>140</v>
      </c>
      <c r="H61" s="195">
        <v>43477</v>
      </c>
      <c r="I61" s="195"/>
    </row>
  </sheetData>
  <mergeCells count="29">
    <mergeCell ref="Q59:R59"/>
    <mergeCell ref="Q58:R58"/>
    <mergeCell ref="H58:I58"/>
    <mergeCell ref="H57:I57"/>
    <mergeCell ref="Q54:R54"/>
    <mergeCell ref="Q55:R55"/>
    <mergeCell ref="Q56:R56"/>
    <mergeCell ref="Q57:R57"/>
    <mergeCell ref="A1:AJ1"/>
    <mergeCell ref="A2:AJ2"/>
    <mergeCell ref="K4:R4"/>
    <mergeCell ref="B4:I4"/>
    <mergeCell ref="B51:G51"/>
    <mergeCell ref="K51:P51"/>
    <mergeCell ref="T51:Y51"/>
    <mergeCell ref="AC51:AH51"/>
    <mergeCell ref="T5:V5"/>
    <mergeCell ref="AC5:AE5"/>
    <mergeCell ref="AC4:AJ4"/>
    <mergeCell ref="T4:AA4"/>
    <mergeCell ref="H61:I61"/>
    <mergeCell ref="B5:D5"/>
    <mergeCell ref="K5:M5"/>
    <mergeCell ref="H59:I59"/>
    <mergeCell ref="E52:G52"/>
    <mergeCell ref="H54:I54"/>
    <mergeCell ref="H55:I55"/>
    <mergeCell ref="H56:I56"/>
    <mergeCell ref="H60:I60"/>
  </mergeCells>
  <printOptions horizontalCentered="1" verticalCentered="1" gridLines="1"/>
  <pageMargins left="0.23622047244094491" right="0.23622047244094491" top="0.74803149606299213" bottom="0.74803149606299213" header="0.31496062992125984" footer="0.31496062992125984"/>
  <pageSetup scale="3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69"/>
  <sheetViews>
    <sheetView workbookViewId="0">
      <selection activeCell="L26" sqref="L26"/>
    </sheetView>
  </sheetViews>
  <sheetFormatPr baseColWidth="10" defaultRowHeight="15" x14ac:dyDescent="0.25"/>
  <cols>
    <col min="1" max="3" width="1.28515625" customWidth="1"/>
    <col min="4" max="4" width="30.7109375" customWidth="1"/>
    <col min="5" max="5" width="4.28515625" customWidth="1"/>
    <col min="6" max="6" width="5.28515625" customWidth="1"/>
    <col min="7" max="7" width="11.140625" customWidth="1"/>
    <col min="8" max="8" width="16.85546875" customWidth="1"/>
    <col min="9" max="9" width="6.42578125" customWidth="1"/>
    <col min="10" max="10" width="1.7109375" customWidth="1"/>
    <col min="11" max="11" width="5" customWidth="1"/>
    <col min="12" max="12" width="17.85546875" style="1" customWidth="1"/>
    <col min="13" max="13" width="5.140625" customWidth="1"/>
    <col min="14" max="14" width="18.85546875" customWidth="1"/>
    <col min="15" max="15" width="6" customWidth="1"/>
    <col min="16" max="16" width="1.7109375" customWidth="1"/>
  </cols>
  <sheetData>
    <row r="1" spans="1:16" ht="42" customHeight="1" x14ac:dyDescent="0.25">
      <c r="B1" s="217"/>
      <c r="C1" s="217"/>
      <c r="D1" s="208" t="s">
        <v>111</v>
      </c>
      <c r="E1" s="208"/>
      <c r="F1" s="208"/>
      <c r="G1" s="208"/>
      <c r="H1" s="208"/>
      <c r="I1" s="208"/>
      <c r="J1" s="208"/>
      <c r="K1" s="208"/>
      <c r="L1" s="208"/>
      <c r="M1" s="208"/>
      <c r="N1" s="208"/>
      <c r="O1" s="208"/>
      <c r="P1" s="217"/>
    </row>
    <row r="2" spans="1:16" ht="18.75" customHeight="1" x14ac:dyDescent="0.25">
      <c r="A2" s="217"/>
      <c r="B2" s="217"/>
      <c r="C2" s="217"/>
      <c r="D2" s="208"/>
      <c r="E2" s="208"/>
      <c r="F2" s="208"/>
      <c r="G2" s="208"/>
      <c r="H2" s="208"/>
      <c r="I2" s="208"/>
      <c r="J2" s="208"/>
      <c r="K2" s="208"/>
      <c r="L2" s="208"/>
      <c r="M2" s="208"/>
      <c r="N2" s="208"/>
      <c r="O2" s="208"/>
      <c r="P2" s="217"/>
    </row>
    <row r="3" spans="1:16" ht="8.25" customHeight="1" x14ac:dyDescent="0.25">
      <c r="J3" s="130"/>
      <c r="K3" s="130"/>
      <c r="L3" s="131"/>
      <c r="M3" s="130"/>
      <c r="N3" s="130"/>
      <c r="O3" s="130"/>
      <c r="P3" s="130"/>
    </row>
    <row r="4" spans="1:16" ht="21.75" thickBot="1" x14ac:dyDescent="0.4">
      <c r="A4" s="47"/>
      <c r="B4" s="200" t="s">
        <v>136</v>
      </c>
      <c r="C4" s="200"/>
      <c r="D4" s="200"/>
      <c r="E4" s="200"/>
      <c r="F4" s="200"/>
      <c r="G4" s="200"/>
      <c r="H4" s="200"/>
      <c r="I4" s="200"/>
      <c r="J4" s="130"/>
      <c r="K4" s="210" t="s">
        <v>134</v>
      </c>
      <c r="L4" s="210"/>
      <c r="M4" s="211"/>
      <c r="N4" s="209" t="s">
        <v>177</v>
      </c>
      <c r="O4" s="210"/>
      <c r="P4" s="130"/>
    </row>
    <row r="5" spans="1:16" x14ac:dyDescent="0.25">
      <c r="A5" s="48"/>
      <c r="B5" s="196" t="s">
        <v>48</v>
      </c>
      <c r="C5" s="196"/>
      <c r="D5" s="196"/>
      <c r="E5" s="14" t="s">
        <v>49</v>
      </c>
      <c r="F5" s="104" t="s">
        <v>50</v>
      </c>
      <c r="G5" s="104" t="s">
        <v>51</v>
      </c>
      <c r="H5" s="16" t="s">
        <v>5</v>
      </c>
      <c r="I5" s="16"/>
      <c r="J5" s="130"/>
      <c r="K5" s="163" t="s">
        <v>163</v>
      </c>
      <c r="L5" s="16" t="s">
        <v>5</v>
      </c>
      <c r="M5" s="16" t="s">
        <v>135</v>
      </c>
      <c r="N5" s="138" t="s">
        <v>5</v>
      </c>
      <c r="O5" s="139" t="s">
        <v>135</v>
      </c>
      <c r="P5" s="130"/>
    </row>
    <row r="6" spans="1:16" x14ac:dyDescent="0.25">
      <c r="A6" s="49"/>
      <c r="B6" s="22" t="s">
        <v>52</v>
      </c>
      <c r="C6" s="23"/>
      <c r="D6" s="23"/>
      <c r="E6" s="24"/>
      <c r="F6" s="25"/>
      <c r="G6" s="25"/>
      <c r="H6" s="26"/>
      <c r="I6" s="64"/>
      <c r="J6" s="130"/>
      <c r="K6" s="115"/>
      <c r="L6" s="115"/>
      <c r="M6" s="129"/>
      <c r="N6" s="133"/>
      <c r="O6" s="134"/>
      <c r="P6" s="130"/>
    </row>
    <row r="7" spans="1:16" x14ac:dyDescent="0.25">
      <c r="A7" s="49"/>
      <c r="C7" s="52" t="s">
        <v>0</v>
      </c>
      <c r="D7" s="52"/>
      <c r="E7" s="53" t="s">
        <v>87</v>
      </c>
      <c r="F7" s="164">
        <f>' BUDGET 2018-2010'!F7</f>
        <v>1</v>
      </c>
      <c r="G7" s="54" t="s">
        <v>1</v>
      </c>
      <c r="H7" s="1"/>
      <c r="I7" s="65">
        <f>(H8+H9)/H23</f>
        <v>0.91836881973350437</v>
      </c>
      <c r="J7" s="130"/>
      <c r="K7" s="165">
        <v>1</v>
      </c>
      <c r="L7" s="54" t="s">
        <v>1</v>
      </c>
      <c r="M7" s="65">
        <f>(L8+L9)/L23</f>
        <v>0.92716460940571577</v>
      </c>
      <c r="N7" s="54" t="s">
        <v>1</v>
      </c>
      <c r="O7" s="135">
        <f>M7-I7</f>
        <v>8.795789672211396E-3</v>
      </c>
      <c r="P7" s="130"/>
    </row>
    <row r="8" spans="1:16" x14ac:dyDescent="0.25">
      <c r="A8" s="49"/>
      <c r="D8" t="str">
        <f>' BUDGET 2018-2010'!D8</f>
        <v>04/09 - 03/11</v>
      </c>
      <c r="E8" s="15"/>
      <c r="F8" s="153">
        <f>' BUDGET 2018-2010'!F8</f>
        <v>34</v>
      </c>
      <c r="G8" s="6" t="s">
        <v>27</v>
      </c>
      <c r="H8" s="1">
        <f>' BUDGET 2018-2010'!H8</f>
        <v>8937.92</v>
      </c>
      <c r="I8" s="143" t="str">
        <f>IF(' BUDGET 2018-2010'!I8="","",' BUDGET 2018-2010'!I8)</f>
        <v/>
      </c>
      <c r="J8" s="130"/>
      <c r="K8" s="162">
        <v>15</v>
      </c>
      <c r="L8" s="1">
        <f>K8*DONNÉES!F7</f>
        <v>3943.2</v>
      </c>
      <c r="N8" s="141">
        <f>L8-H8</f>
        <v>-4994.72</v>
      </c>
      <c r="O8" s="81"/>
      <c r="P8" s="130"/>
    </row>
    <row r="9" spans="1:16" x14ac:dyDescent="0.25">
      <c r="A9" s="49"/>
      <c r="D9" t="str">
        <f>' BUDGET 2018-2010'!D9</f>
        <v>05/11 -19/12</v>
      </c>
      <c r="E9" s="15"/>
      <c r="F9" s="153">
        <f>' BUDGET 2018-2010'!F9</f>
        <v>21</v>
      </c>
      <c r="G9" s="6" t="s">
        <v>27</v>
      </c>
      <c r="H9" s="1">
        <f>' BUDGET 2018-2010'!H9</f>
        <v>5520.48</v>
      </c>
      <c r="I9" s="143" t="str">
        <f>IF(' BUDGET 2018-2010'!I9="","",' BUDGET 2018-2010'!I9)</f>
        <v/>
      </c>
      <c r="J9" s="130"/>
      <c r="K9" s="162">
        <v>40</v>
      </c>
      <c r="L9" s="1">
        <f>K9*DONNÉES!F7</f>
        <v>10515.2</v>
      </c>
      <c r="N9" s="141">
        <f t="shared" ref="N9:N22" si="0">L9-H9</f>
        <v>4994.7200000000012</v>
      </c>
      <c r="O9" s="81"/>
      <c r="P9" s="130"/>
    </row>
    <row r="10" spans="1:16" x14ac:dyDescent="0.25">
      <c r="A10" s="49"/>
      <c r="C10" s="52" t="s">
        <v>3</v>
      </c>
      <c r="D10" s="52"/>
      <c r="E10" s="53" t="s">
        <v>89</v>
      </c>
      <c r="F10" s="164">
        <f>' BUDGET 2018-2010'!F10</f>
        <v>1</v>
      </c>
      <c r="G10" s="55" t="s">
        <v>4</v>
      </c>
      <c r="H10" s="1"/>
      <c r="I10" s="65">
        <f>SUM(H11:H13)/H23</f>
        <v>4.9496147809268386E-2</v>
      </c>
      <c r="J10" s="130"/>
      <c r="K10" s="166">
        <v>1</v>
      </c>
      <c r="L10" s="55" t="s">
        <v>4</v>
      </c>
      <c r="M10" s="170">
        <f>SUM(L11:L13)/L23</f>
        <v>4.0392580934118592E-2</v>
      </c>
      <c r="N10" s="55" t="s">
        <v>4</v>
      </c>
      <c r="O10" s="135">
        <f>M10-I10</f>
        <v>-9.1035668751497933E-3</v>
      </c>
      <c r="P10" s="130"/>
    </row>
    <row r="11" spans="1:16" x14ac:dyDescent="0.25">
      <c r="A11" s="49"/>
      <c r="B11" s="108"/>
      <c r="D11" t="str">
        <f>' BUDGET 2018-2010'!D11</f>
        <v>3 semaines x 3h</v>
      </c>
      <c r="E11" s="13"/>
      <c r="F11" s="106">
        <f>' BUDGET 2018-2010'!F11</f>
        <v>9</v>
      </c>
      <c r="G11" s="6" t="s">
        <v>30</v>
      </c>
      <c r="H11" s="144">
        <f>' BUDGET 2018-2010'!H11</f>
        <v>233.77375889999999</v>
      </c>
      <c r="I11" s="143" t="str">
        <f>IF(' BUDGET 2018-2010'!I11="","",' BUDGET 2018-2010'!I11)</f>
        <v>M1</v>
      </c>
      <c r="J11" s="130"/>
      <c r="K11" s="162">
        <v>9.25</v>
      </c>
      <c r="L11" s="1">
        <f>K11*DONNÉES!I8</f>
        <v>240.26747442499999</v>
      </c>
      <c r="N11" s="141">
        <f t="shared" si="0"/>
        <v>6.4937155249999989</v>
      </c>
      <c r="O11" s="81"/>
      <c r="P11" s="130"/>
    </row>
    <row r="12" spans="1:16" x14ac:dyDescent="0.25">
      <c r="A12" s="49"/>
      <c r="D12" t="str">
        <f>' BUDGET 2018-2010'!D12</f>
        <v>3 jours x 7h (développement)</v>
      </c>
      <c r="E12" s="13"/>
      <c r="F12" s="106">
        <f>' BUDGET 2018-2010'!F12</f>
        <v>21</v>
      </c>
      <c r="G12" s="6" t="s">
        <v>30</v>
      </c>
      <c r="H12" s="144">
        <f>' BUDGET 2018-2010'!H12</f>
        <v>545.47210410000002</v>
      </c>
      <c r="I12" s="143" t="str">
        <f>IF(' BUDGET 2018-2010'!I12="","",' BUDGET 2018-2010'!I12)</f>
        <v>M12</v>
      </c>
      <c r="J12" s="130"/>
      <c r="K12" s="162">
        <v>15</v>
      </c>
      <c r="L12" s="1">
        <f>K12*DONNÉES!I8</f>
        <v>389.62293149999999</v>
      </c>
      <c r="N12" s="141">
        <f t="shared" si="0"/>
        <v>-155.84917260000003</v>
      </c>
      <c r="O12" s="81"/>
      <c r="P12" s="130"/>
    </row>
    <row r="13" spans="1:16" x14ac:dyDescent="0.25">
      <c r="A13" s="49"/>
      <c r="D13" t="s">
        <v>8</v>
      </c>
      <c r="E13" s="13"/>
      <c r="F13" s="106">
        <f>' BUDGET 2018-2010'!F13</f>
        <v>0</v>
      </c>
      <c r="G13" s="6" t="s">
        <v>30</v>
      </c>
      <c r="H13" s="144">
        <f>' BUDGET 2018-2010'!H13</f>
        <v>0</v>
      </c>
      <c r="I13" s="143" t="str">
        <f>IF(' BUDGET 2018-2010'!I13="","",' BUDGET 2018-2010'!I13)</f>
        <v>M3</v>
      </c>
      <c r="J13" s="130"/>
      <c r="K13" s="162"/>
      <c r="N13" s="141">
        <f t="shared" si="0"/>
        <v>0</v>
      </c>
      <c r="O13" s="81"/>
      <c r="P13" s="130"/>
    </row>
    <row r="14" spans="1:16" x14ac:dyDescent="0.25">
      <c r="A14" s="49"/>
      <c r="E14" s="13"/>
      <c r="F14" s="54"/>
      <c r="G14" s="6"/>
      <c r="H14" s="1"/>
      <c r="I14" s="143"/>
      <c r="J14" s="130"/>
      <c r="K14" s="162"/>
      <c r="N14" s="141"/>
      <c r="O14" s="81"/>
      <c r="P14" s="130"/>
    </row>
    <row r="15" spans="1:16" x14ac:dyDescent="0.25">
      <c r="A15" s="49"/>
      <c r="E15" s="13"/>
      <c r="F15" s="54"/>
      <c r="G15" s="3"/>
      <c r="H15" s="1"/>
      <c r="I15" s="143" t="str">
        <f>IF(' BUDGET 2018-2010'!I15="","",' BUDGET 2018-2010'!I15)</f>
        <v/>
      </c>
      <c r="J15" s="130"/>
      <c r="K15" s="162"/>
      <c r="N15" s="141"/>
      <c r="O15" s="81"/>
      <c r="P15" s="130"/>
    </row>
    <row r="16" spans="1:16" x14ac:dyDescent="0.25">
      <c r="A16" s="49"/>
      <c r="C16" s="56" t="s">
        <v>25</v>
      </c>
      <c r="D16" s="56"/>
      <c r="E16" s="71" t="s">
        <v>87</v>
      </c>
      <c r="F16" s="167">
        <f>' BUDGET 2018-2010'!F16</f>
        <v>1</v>
      </c>
      <c r="G16" s="3"/>
      <c r="H16" s="1"/>
      <c r="I16" s="143" t="str">
        <f>IF(' BUDGET 2018-2010'!I16="","",' BUDGET 2018-2010'!I16)</f>
        <v/>
      </c>
      <c r="J16" s="130"/>
      <c r="K16" s="162"/>
      <c r="N16" s="141"/>
      <c r="O16" s="81"/>
      <c r="P16" s="130"/>
    </row>
    <row r="17" spans="1:16" x14ac:dyDescent="0.25">
      <c r="A17" s="49"/>
      <c r="E17" s="13"/>
      <c r="F17" s="54"/>
      <c r="G17" s="3"/>
      <c r="H17" s="1"/>
      <c r="I17" s="143" t="str">
        <f>IF(' BUDGET 2018-2010'!I17="","",' BUDGET 2018-2010'!I17)</f>
        <v/>
      </c>
      <c r="J17" s="130"/>
      <c r="K17" s="162"/>
      <c r="N17" s="141"/>
      <c r="O17" s="81"/>
      <c r="P17" s="130"/>
    </row>
    <row r="18" spans="1:16" x14ac:dyDescent="0.25">
      <c r="A18" s="49"/>
      <c r="E18" s="13"/>
      <c r="F18" s="54"/>
      <c r="G18" s="3"/>
      <c r="H18" s="1"/>
      <c r="I18" s="143" t="str">
        <f>IF(' BUDGET 2018-2010'!I18="","",' BUDGET 2018-2010'!I18)</f>
        <v/>
      </c>
      <c r="J18" s="130"/>
      <c r="K18" s="162"/>
      <c r="N18" s="141"/>
      <c r="O18" s="81"/>
      <c r="P18" s="130"/>
    </row>
    <row r="19" spans="1:16" x14ac:dyDescent="0.25">
      <c r="A19" s="49"/>
      <c r="E19" s="13"/>
      <c r="F19" s="54"/>
      <c r="G19" s="3"/>
      <c r="H19" s="1"/>
      <c r="I19" s="143" t="str">
        <f>IF(' BUDGET 2018-2010'!I19="","",' BUDGET 2018-2010'!I19)</f>
        <v/>
      </c>
      <c r="J19" s="130"/>
      <c r="K19" s="162"/>
      <c r="N19" s="141"/>
      <c r="O19" s="81"/>
      <c r="P19" s="130"/>
    </row>
    <row r="20" spans="1:16" x14ac:dyDescent="0.25">
      <c r="A20" s="49"/>
      <c r="E20" s="13"/>
      <c r="F20" s="54"/>
      <c r="G20" s="3"/>
      <c r="H20" s="1"/>
      <c r="I20" s="143" t="str">
        <f>IF(' BUDGET 2018-2010'!I20="","",' BUDGET 2018-2010'!I20)</f>
        <v/>
      </c>
      <c r="J20" s="130"/>
      <c r="K20" s="162"/>
      <c r="N20" s="141"/>
      <c r="O20" s="81"/>
      <c r="P20" s="130"/>
    </row>
    <row r="21" spans="1:16" x14ac:dyDescent="0.25">
      <c r="A21" s="49"/>
      <c r="C21" s="52" t="s">
        <v>9</v>
      </c>
      <c r="D21" s="52"/>
      <c r="E21" s="50" t="s">
        <v>41</v>
      </c>
      <c r="F21" s="164">
        <f>' BUDGET 2018-2010'!F21</f>
        <v>1</v>
      </c>
      <c r="G21" s="55" t="s">
        <v>10</v>
      </c>
      <c r="H21" s="1"/>
      <c r="I21" s="65">
        <f>H22/H23</f>
        <v>3.2135032457227257E-2</v>
      </c>
      <c r="J21" s="130"/>
      <c r="K21" s="164">
        <v>1</v>
      </c>
      <c r="L21" s="55" t="s">
        <v>10</v>
      </c>
      <c r="M21" s="170">
        <f>L22/L23</f>
        <v>3.2442809660165696E-2</v>
      </c>
      <c r="N21" s="55" t="s">
        <v>10</v>
      </c>
      <c r="O21" s="135">
        <f>M21-I21</f>
        <v>3.0777720293843902E-4</v>
      </c>
      <c r="P21" s="130"/>
    </row>
    <row r="22" spans="1:16" x14ac:dyDescent="0.25">
      <c r="A22" s="49"/>
      <c r="D22" s="1" t="str">
        <f>' BUDGET 2018-2010'!D22</f>
        <v>3 semaines x 7,75</v>
      </c>
      <c r="E22" s="13"/>
      <c r="F22" s="154">
        <f>' BUDGET 2018-2010'!F22</f>
        <v>3</v>
      </c>
      <c r="G22" s="3" t="s">
        <v>27</v>
      </c>
      <c r="H22" s="144">
        <f>' BUDGET 2018-2010'!H22</f>
        <v>505.92000000000007</v>
      </c>
      <c r="I22" s="143" t="str">
        <f>IF(' BUDGET 2018-2010'!I22="","",' BUDGET 2018-2010'!I22)</f>
        <v>M5</v>
      </c>
      <c r="J22" s="130"/>
      <c r="K22" s="162">
        <v>3</v>
      </c>
      <c r="L22" s="1">
        <f>K22*DONNÉES!F9</f>
        <v>505.92000000000007</v>
      </c>
      <c r="N22" s="141">
        <f t="shared" si="0"/>
        <v>0</v>
      </c>
      <c r="O22" s="81"/>
      <c r="P22" s="130"/>
    </row>
    <row r="23" spans="1:16" ht="15.75" thickBot="1" x14ac:dyDescent="0.3">
      <c r="A23" s="49"/>
      <c r="B23" s="18" t="s">
        <v>54</v>
      </c>
      <c r="C23" s="18"/>
      <c r="D23" s="18"/>
      <c r="E23" s="19"/>
      <c r="F23" s="20"/>
      <c r="G23" s="20"/>
      <c r="H23" s="21">
        <f>SUM(H8:H22)</f>
        <v>15743.565863</v>
      </c>
      <c r="I23" s="66">
        <f>H23/H52</f>
        <v>0.60565883463654213</v>
      </c>
      <c r="J23" s="130"/>
      <c r="K23" s="21"/>
      <c r="L23" s="21">
        <f>SUM(L8:L22)</f>
        <v>15594.210405925001</v>
      </c>
      <c r="M23" s="66">
        <f>L23/L52</f>
        <v>0.64896585521152506</v>
      </c>
      <c r="N23" s="142">
        <f>L23-H23</f>
        <v>-149.35545707499841</v>
      </c>
      <c r="O23" s="137">
        <f>M23-I23</f>
        <v>4.3307020574982924E-2</v>
      </c>
      <c r="P23" s="130"/>
    </row>
    <row r="24" spans="1:16" ht="5.25" customHeight="1" thickTop="1" x14ac:dyDescent="0.25">
      <c r="A24" s="49"/>
      <c r="E24" s="13"/>
      <c r="F24" s="3"/>
      <c r="G24" s="3"/>
      <c r="H24" s="1"/>
      <c r="I24" s="7"/>
      <c r="J24" s="130"/>
      <c r="K24" s="1"/>
      <c r="N24" s="132"/>
      <c r="O24" s="81"/>
      <c r="P24" s="130"/>
    </row>
    <row r="25" spans="1:16" x14ac:dyDescent="0.25">
      <c r="A25" s="49"/>
      <c r="B25" s="22" t="s">
        <v>53</v>
      </c>
      <c r="C25" s="22"/>
      <c r="D25" s="22"/>
      <c r="E25" s="27"/>
      <c r="F25" s="28"/>
      <c r="G25" s="28"/>
      <c r="H25" s="29"/>
      <c r="I25" s="67"/>
      <c r="J25" s="130"/>
      <c r="K25" s="115"/>
      <c r="L25" s="115"/>
      <c r="M25" s="129"/>
      <c r="N25" s="133"/>
      <c r="O25" s="134"/>
      <c r="P25" s="130"/>
    </row>
    <row r="26" spans="1:16" x14ac:dyDescent="0.25">
      <c r="A26" s="49"/>
      <c r="C26" t="s">
        <v>11</v>
      </c>
      <c r="E26" s="13" t="s">
        <v>42</v>
      </c>
      <c r="F26" s="153">
        <f>' BUDGET 2018-2010'!F26</f>
        <v>10</v>
      </c>
      <c r="G26" s="3" t="s">
        <v>12</v>
      </c>
      <c r="H26" s="40">
        <f>' BUDGET 2018-2010'!H26</f>
        <v>5069.2976250000002</v>
      </c>
      <c r="I26" s="143" t="str">
        <f>IF(' BUDGET 2018-2010'!I26="","",' BUDGET 2018-2010'!I26)</f>
        <v/>
      </c>
      <c r="J26" s="130"/>
      <c r="K26" s="162">
        <v>10</v>
      </c>
      <c r="L26" s="1">
        <f>K26*DONNÉES!E13</f>
        <v>5230.0024428750003</v>
      </c>
      <c r="N26" s="141">
        <f t="shared" ref="N26:N30" si="1">L26-H26</f>
        <v>160.70481787500012</v>
      </c>
      <c r="O26" s="81"/>
      <c r="P26" s="130"/>
    </row>
    <row r="27" spans="1:16" x14ac:dyDescent="0.25">
      <c r="A27" s="49"/>
      <c r="C27" t="s">
        <v>13</v>
      </c>
      <c r="E27" s="13" t="s">
        <v>43</v>
      </c>
      <c r="F27" s="106">
        <f>' BUDGET 2018-2010'!F27</f>
        <v>0</v>
      </c>
      <c r="G27" s="3" t="s">
        <v>34</v>
      </c>
      <c r="H27" s="144">
        <f>' BUDGET 2018-2010'!H27</f>
        <v>0</v>
      </c>
      <c r="I27" s="143" t="str">
        <f>IF(' BUDGET 2018-2010'!I27="","",' BUDGET 2018-2010'!I27)</f>
        <v>M7</v>
      </c>
      <c r="J27" s="130"/>
      <c r="K27" s="161"/>
      <c r="N27" s="141">
        <f t="shared" si="1"/>
        <v>0</v>
      </c>
      <c r="O27" s="81"/>
      <c r="P27" s="130"/>
    </row>
    <row r="28" spans="1:16" x14ac:dyDescent="0.25">
      <c r="A28" s="49"/>
      <c r="C28" t="s">
        <v>14</v>
      </c>
      <c r="E28" s="13" t="s">
        <v>44</v>
      </c>
      <c r="F28" s="153">
        <f>' BUDGET 2018-2010'!F28</f>
        <v>1</v>
      </c>
      <c r="G28" s="3" t="s">
        <v>16</v>
      </c>
      <c r="H28" s="40">
        <f>' BUDGET 2018-2010'!H28</f>
        <v>1498.0294113749999</v>
      </c>
      <c r="I28" s="143" t="str">
        <f>IF(' BUDGET 2018-2010'!I28="","",' BUDGET 2018-2010'!I28)</f>
        <v/>
      </c>
      <c r="J28" s="130"/>
      <c r="K28" s="162">
        <v>1</v>
      </c>
      <c r="L28" s="1">
        <f>K28*DONNÉES!E15</f>
        <v>1415.5234169999999</v>
      </c>
      <c r="N28" s="141">
        <f t="shared" si="1"/>
        <v>-82.505994375</v>
      </c>
      <c r="O28" s="81"/>
      <c r="P28" s="130"/>
    </row>
    <row r="29" spans="1:16" x14ac:dyDescent="0.25">
      <c r="A29" s="49"/>
      <c r="C29" t="s">
        <v>15</v>
      </c>
      <c r="E29" s="13" t="s">
        <v>44</v>
      </c>
      <c r="F29" s="153">
        <f>' BUDGET 2018-2010'!F29</f>
        <v>1</v>
      </c>
      <c r="G29" s="3" t="s">
        <v>15</v>
      </c>
      <c r="H29" s="40">
        <f>' BUDGET 2018-2010'!H29</f>
        <v>433.22286787500002</v>
      </c>
      <c r="I29" s="143" t="str">
        <f>IF(' BUDGET 2018-2010'!I29="","",' BUDGET 2018-2010'!I29)</f>
        <v/>
      </c>
      <c r="J29" s="130"/>
      <c r="K29" s="162">
        <v>1</v>
      </c>
      <c r="L29" s="1">
        <f>K29*DONNÉES!E17</f>
        <v>434.66628975000003</v>
      </c>
      <c r="N29" s="141">
        <f t="shared" si="1"/>
        <v>1.4434218750000127</v>
      </c>
      <c r="O29" s="81"/>
      <c r="P29" s="130"/>
    </row>
    <row r="30" spans="1:16" x14ac:dyDescent="0.25">
      <c r="A30" s="49"/>
      <c r="C30" t="s">
        <v>17</v>
      </c>
      <c r="E30" s="13" t="s">
        <v>44</v>
      </c>
      <c r="F30" s="153">
        <f>' BUDGET 2018-2010'!F30</f>
        <v>1</v>
      </c>
      <c r="G30" s="3" t="s">
        <v>167</v>
      </c>
      <c r="H30" s="40">
        <f>' BUDGET 2018-2010'!H30</f>
        <v>250</v>
      </c>
      <c r="I30" s="143" t="str">
        <f>IF(' BUDGET 2018-2010'!I30="","",' BUDGET 2018-2010'!I30)</f>
        <v/>
      </c>
      <c r="J30" s="130"/>
      <c r="K30" s="162">
        <v>1</v>
      </c>
      <c r="L30" s="1">
        <f>K30*DONNÉES!E18</f>
        <v>255.61269300000001</v>
      </c>
      <c r="N30" s="141">
        <f t="shared" si="1"/>
        <v>5.6126930000000073</v>
      </c>
      <c r="O30" s="81"/>
      <c r="P30" s="130"/>
    </row>
    <row r="31" spans="1:16" ht="15.75" thickBot="1" x14ac:dyDescent="0.3">
      <c r="A31" s="49"/>
      <c r="B31" s="18" t="s">
        <v>55</v>
      </c>
      <c r="C31" s="18"/>
      <c r="D31" s="18"/>
      <c r="E31" s="19"/>
      <c r="F31" s="20"/>
      <c r="G31" s="20"/>
      <c r="H31" s="21">
        <f>SUM(H26:H30)</f>
        <v>7250.5499042499996</v>
      </c>
      <c r="I31" s="66">
        <f>H31/H52</f>
        <v>0.27893043060864459</v>
      </c>
      <c r="J31" s="130"/>
      <c r="K31" s="140"/>
      <c r="L31" s="140">
        <f>SUM(L26:L30)</f>
        <v>7335.8048426250007</v>
      </c>
      <c r="M31" s="66">
        <f>L31/L52</f>
        <v>0.30528553478733134</v>
      </c>
      <c r="N31" s="142">
        <f>L31-H31</f>
        <v>85.254938375001075</v>
      </c>
      <c r="O31" s="137">
        <f>M31-I31</f>
        <v>2.635510417868675E-2</v>
      </c>
      <c r="P31" s="130"/>
    </row>
    <row r="32" spans="1:16" ht="5.25" customHeight="1" thickTop="1" x14ac:dyDescent="0.25">
      <c r="A32" s="49"/>
      <c r="E32" s="13"/>
      <c r="F32" s="3"/>
      <c r="G32" s="3"/>
      <c r="H32" s="1"/>
      <c r="I32" s="7"/>
      <c r="J32" s="130"/>
      <c r="K32" s="1"/>
      <c r="N32" s="132"/>
      <c r="O32" s="81"/>
      <c r="P32" s="130"/>
    </row>
    <row r="33" spans="1:16" x14ac:dyDescent="0.25">
      <c r="A33" s="49"/>
      <c r="B33" s="30" t="s">
        <v>56</v>
      </c>
      <c r="C33" s="30"/>
      <c r="D33" s="30"/>
      <c r="E33" s="31"/>
      <c r="F33" s="32"/>
      <c r="G33" s="32"/>
      <c r="H33" s="33"/>
      <c r="I33" s="69"/>
      <c r="J33" s="130"/>
      <c r="K33" s="115"/>
      <c r="L33" s="115"/>
      <c r="M33" s="129"/>
      <c r="N33" s="133"/>
      <c r="O33" s="134"/>
      <c r="P33" s="130"/>
    </row>
    <row r="34" spans="1:16" x14ac:dyDescent="0.25">
      <c r="A34" s="49"/>
      <c r="C34" t="s">
        <v>68</v>
      </c>
      <c r="E34" s="13"/>
      <c r="F34" s="3">
        <v>1</v>
      </c>
      <c r="G34" s="3" t="s">
        <v>26</v>
      </c>
      <c r="H34" s="40">
        <f>' BUDGET 2018-2010'!H34</f>
        <v>250</v>
      </c>
      <c r="I34" s="143" t="str">
        <f>IF(' BUDGET 2018-2010'!I34="","",' BUDGET 2018-2010'!I34)</f>
        <v/>
      </c>
      <c r="J34" s="130"/>
      <c r="K34" s="162">
        <v>1</v>
      </c>
      <c r="L34" s="1">
        <f>K34*DONNÉES!E21</f>
        <v>234.96</v>
      </c>
      <c r="N34" s="141">
        <f t="shared" ref="N34:N41" si="2">L34-H34</f>
        <v>-15.039999999999992</v>
      </c>
      <c r="O34" s="81"/>
      <c r="P34" s="130"/>
    </row>
    <row r="35" spans="1:16" x14ac:dyDescent="0.25">
      <c r="A35" s="49"/>
      <c r="C35" s="36" t="s">
        <v>69</v>
      </c>
      <c r="D35" s="36"/>
      <c r="E35" s="13"/>
      <c r="F35" s="3"/>
      <c r="G35" s="38" t="s">
        <v>26</v>
      </c>
      <c r="H35" s="1"/>
      <c r="I35" s="143" t="str">
        <f>IF(' BUDGET 2018-2010'!I35="","",' BUDGET 2018-2010'!I35)</f>
        <v/>
      </c>
      <c r="J35" s="130"/>
      <c r="K35" s="161"/>
      <c r="N35" s="141">
        <f t="shared" si="2"/>
        <v>0</v>
      </c>
      <c r="O35" s="81"/>
      <c r="P35" s="130"/>
    </row>
    <row r="36" spans="1:16" x14ac:dyDescent="0.25">
      <c r="A36" s="49"/>
      <c r="C36" t="s">
        <v>19</v>
      </c>
      <c r="E36" s="13" t="s">
        <v>45</v>
      </c>
      <c r="F36" s="3">
        <v>8</v>
      </c>
      <c r="G36" s="3" t="s">
        <v>20</v>
      </c>
      <c r="H36" s="40">
        <f>' BUDGET 2018-2010'!H36</f>
        <v>800</v>
      </c>
      <c r="I36" s="143" t="str">
        <f>IF(' BUDGET 2018-2010'!I36="","",' BUDGET 2018-2010'!I36)</f>
        <v/>
      </c>
      <c r="J36" s="130"/>
      <c r="K36" s="162">
        <v>6</v>
      </c>
      <c r="L36" s="1">
        <f>(K36*DONNÉES!E22)+(2*DONNÉES!E26)</f>
        <v>370.57814450000001</v>
      </c>
      <c r="N36" s="141">
        <f t="shared" si="2"/>
        <v>-429.42185549999999</v>
      </c>
      <c r="O36" s="81"/>
      <c r="P36" s="130"/>
    </row>
    <row r="37" spans="1:16" x14ac:dyDescent="0.25">
      <c r="A37" s="49"/>
      <c r="C37" s="36" t="s">
        <v>74</v>
      </c>
      <c r="E37" s="13"/>
      <c r="F37" s="3"/>
      <c r="G37" s="3"/>
      <c r="H37" s="1"/>
      <c r="I37" s="143" t="str">
        <f>IF(' BUDGET 2018-2010'!I37="","",' BUDGET 2018-2010'!I37)</f>
        <v/>
      </c>
      <c r="J37" s="130"/>
      <c r="K37" s="161"/>
      <c r="N37" s="141">
        <f t="shared" si="2"/>
        <v>0</v>
      </c>
      <c r="O37" s="81"/>
      <c r="P37" s="130"/>
    </row>
    <row r="38" spans="1:16" x14ac:dyDescent="0.25">
      <c r="A38" s="49"/>
      <c r="C38" s="36" t="s">
        <v>70</v>
      </c>
      <c r="E38" s="13"/>
      <c r="F38" s="3"/>
      <c r="G38" s="38" t="s">
        <v>71</v>
      </c>
      <c r="H38" s="1"/>
      <c r="I38" s="143" t="str">
        <f>IF(' BUDGET 2018-2010'!I38="","",' BUDGET 2018-2010'!I38)</f>
        <v/>
      </c>
      <c r="J38" s="130"/>
      <c r="K38" s="161"/>
      <c r="N38" s="141">
        <f t="shared" si="2"/>
        <v>0</v>
      </c>
      <c r="O38" s="81"/>
      <c r="P38" s="130"/>
    </row>
    <row r="39" spans="1:16" x14ac:dyDescent="0.25">
      <c r="A39" s="49"/>
      <c r="C39" t="s">
        <v>21</v>
      </c>
      <c r="E39" s="13"/>
      <c r="F39" s="122">
        <v>2</v>
      </c>
      <c r="G39" s="3" t="s">
        <v>36</v>
      </c>
      <c r="H39" s="144">
        <f>' BUDGET 2018-2010'!H39</f>
        <v>1000</v>
      </c>
      <c r="I39" s="143" t="str">
        <f>IF(' BUDGET 2018-2010'!I39="","",' BUDGET 2018-2010'!I39)</f>
        <v>M8</v>
      </c>
      <c r="J39" s="130"/>
      <c r="K39" s="162">
        <v>0</v>
      </c>
      <c r="N39" s="141">
        <f t="shared" si="2"/>
        <v>-1000</v>
      </c>
      <c r="O39" s="81"/>
      <c r="P39" s="130"/>
    </row>
    <row r="40" spans="1:16" x14ac:dyDescent="0.25">
      <c r="A40" s="49"/>
      <c r="C40" s="35" t="s">
        <v>173</v>
      </c>
      <c r="E40" s="13" t="s">
        <v>175</v>
      </c>
      <c r="F40" s="122"/>
      <c r="G40" s="3"/>
      <c r="H40" s="144">
        <f>' BUDGET 2018-2010'!H40</f>
        <v>100</v>
      </c>
      <c r="I40" s="143" t="str">
        <f>IF(' BUDGET 2018-2010'!I40="","",' BUDGET 2018-2010'!I40)</f>
        <v>M14</v>
      </c>
      <c r="J40" s="130"/>
      <c r="K40" s="161"/>
      <c r="L40" s="1">
        <v>30</v>
      </c>
      <c r="N40" s="141">
        <f t="shared" si="2"/>
        <v>-70</v>
      </c>
      <c r="O40" s="81"/>
      <c r="P40" s="130"/>
    </row>
    <row r="41" spans="1:16" x14ac:dyDescent="0.25">
      <c r="A41" s="49"/>
      <c r="C41" s="35" t="s">
        <v>143</v>
      </c>
      <c r="E41" s="13" t="s">
        <v>141</v>
      </c>
      <c r="F41" s="122"/>
      <c r="G41" s="3"/>
      <c r="H41" s="144">
        <f>' BUDGET 2018-2010'!H41</f>
        <v>500</v>
      </c>
      <c r="I41" s="143" t="str">
        <f>IF(' BUDGET 2018-2010'!I41="","",' BUDGET 2018-2010'!I41)</f>
        <v>M11</v>
      </c>
      <c r="J41" s="130"/>
      <c r="K41" s="161"/>
      <c r="L41" s="1">
        <v>412.77</v>
      </c>
      <c r="N41" s="141">
        <f t="shared" si="2"/>
        <v>-87.230000000000018</v>
      </c>
      <c r="O41" s="81"/>
      <c r="P41" s="130"/>
    </row>
    <row r="42" spans="1:16" ht="15.75" thickBot="1" x14ac:dyDescent="0.3">
      <c r="A42" s="49"/>
      <c r="B42" s="18" t="s">
        <v>54</v>
      </c>
      <c r="C42" s="18"/>
      <c r="D42" s="18"/>
      <c r="E42" s="19"/>
      <c r="F42" s="20"/>
      <c r="G42" s="20"/>
      <c r="H42" s="21">
        <f>SUM(H34:H41)</f>
        <v>2650</v>
      </c>
      <c r="I42" s="70">
        <f>H42/H52</f>
        <v>0.10194614903341842</v>
      </c>
      <c r="J42" s="130"/>
      <c r="K42" s="168"/>
      <c r="L42" s="140">
        <f>SUM(L34:L41)</f>
        <v>1048.3081445</v>
      </c>
      <c r="M42" s="66">
        <f>L42/L52</f>
        <v>4.3626203174875991E-2</v>
      </c>
      <c r="N42" s="142">
        <f>L42-H42</f>
        <v>-1601.6918555</v>
      </c>
      <c r="O42" s="137">
        <f>M42-I42</f>
        <v>-5.831994585854243E-2</v>
      </c>
      <c r="P42" s="130"/>
    </row>
    <row r="43" spans="1:16" ht="4.5" customHeight="1" thickTop="1" x14ac:dyDescent="0.25">
      <c r="A43" s="49"/>
      <c r="E43" s="13"/>
      <c r="F43" s="3"/>
      <c r="G43" s="3"/>
      <c r="H43" s="1"/>
      <c r="I43" s="7"/>
      <c r="J43" s="130"/>
      <c r="K43" s="161"/>
      <c r="N43" s="132"/>
      <c r="O43" s="81"/>
      <c r="P43" s="130"/>
    </row>
    <row r="44" spans="1:16" ht="15" customHeight="1" x14ac:dyDescent="0.25">
      <c r="A44" s="49"/>
      <c r="B44" s="30" t="s">
        <v>57</v>
      </c>
      <c r="C44" s="30"/>
      <c r="D44" s="30"/>
      <c r="E44" s="31"/>
      <c r="F44" s="32"/>
      <c r="G44" s="32"/>
      <c r="H44" s="33"/>
      <c r="I44" s="69"/>
      <c r="J44" s="130"/>
      <c r="K44" s="115"/>
      <c r="L44" s="115"/>
      <c r="M44" s="129"/>
      <c r="N44" s="133"/>
      <c r="O44" s="134"/>
      <c r="P44" s="130"/>
    </row>
    <row r="45" spans="1:16" x14ac:dyDescent="0.25">
      <c r="A45" s="49"/>
      <c r="C45" t="s">
        <v>22</v>
      </c>
      <c r="E45" s="13" t="s">
        <v>46</v>
      </c>
      <c r="F45" s="3">
        <v>500</v>
      </c>
      <c r="G45" s="3" t="s">
        <v>23</v>
      </c>
      <c r="H45" s="40">
        <f>' BUDGET 2018-2010'!H45</f>
        <v>250</v>
      </c>
      <c r="I45" s="143" t="str">
        <f>IF(' BUDGET 2018-2010'!I45="","",' BUDGET 2018-2010'!I45)</f>
        <v/>
      </c>
      <c r="J45" s="130"/>
      <c r="K45" s="39">
        <v>70</v>
      </c>
      <c r="L45" s="1">
        <f>K45*DONNÉES!D34</f>
        <v>35</v>
      </c>
      <c r="N45" s="141">
        <f t="shared" ref="N45:N46" si="3">L45-H45</f>
        <v>-215</v>
      </c>
      <c r="O45" s="81"/>
      <c r="P45" s="130"/>
    </row>
    <row r="46" spans="1:16" x14ac:dyDescent="0.25">
      <c r="A46" s="49"/>
      <c r="C46" t="s">
        <v>24</v>
      </c>
      <c r="E46" s="13" t="s">
        <v>46</v>
      </c>
      <c r="F46" s="3">
        <v>25</v>
      </c>
      <c r="G46" s="3" t="s">
        <v>39</v>
      </c>
      <c r="H46" s="40">
        <f>' BUDGET 2018-2010'!H46</f>
        <v>100</v>
      </c>
      <c r="I46" s="143" t="str">
        <f>IF(' BUDGET 2018-2010'!I46="","",' BUDGET 2018-2010'!I46)</f>
        <v/>
      </c>
      <c r="J46" s="130"/>
      <c r="K46" s="39">
        <v>4</v>
      </c>
      <c r="L46" s="1">
        <f>K46*DONNÉES!D35</f>
        <v>16</v>
      </c>
      <c r="N46" s="141">
        <f t="shared" si="3"/>
        <v>-84</v>
      </c>
      <c r="O46" s="81"/>
      <c r="P46" s="130"/>
    </row>
    <row r="47" spans="1:16" ht="15.75" thickBot="1" x14ac:dyDescent="0.3">
      <c r="A47" s="49"/>
      <c r="B47" s="18" t="s">
        <v>54</v>
      </c>
      <c r="C47" s="18"/>
      <c r="D47" s="18"/>
      <c r="E47" s="19"/>
      <c r="F47" s="20"/>
      <c r="G47" s="20"/>
      <c r="H47" s="21">
        <f>SUM(H45:H46)</f>
        <v>350</v>
      </c>
      <c r="I47" s="70">
        <f>H47/H52</f>
        <v>1.3464585721394886E-2</v>
      </c>
      <c r="J47" s="130"/>
      <c r="K47" s="140"/>
      <c r="L47" s="140">
        <f>SUM(L45:L46)</f>
        <v>51</v>
      </c>
      <c r="M47" s="66">
        <f>L47/L52</f>
        <v>2.122406826267556E-3</v>
      </c>
      <c r="N47" s="142">
        <f>L47-H47</f>
        <v>-299</v>
      </c>
      <c r="O47" s="137">
        <f>M47-I47</f>
        <v>-1.134217889512733E-2</v>
      </c>
      <c r="P47" s="130"/>
    </row>
    <row r="48" spans="1:16" ht="5.25" customHeight="1" thickTop="1" x14ac:dyDescent="0.25">
      <c r="A48" s="49"/>
      <c r="B48" s="89"/>
      <c r="C48" s="89"/>
      <c r="D48" s="89"/>
      <c r="E48" s="90"/>
      <c r="F48" s="91"/>
      <c r="G48" s="91"/>
      <c r="H48" s="92"/>
      <c r="I48" s="93"/>
      <c r="J48" s="130"/>
      <c r="K48" s="1"/>
      <c r="N48" s="132"/>
      <c r="O48" s="81"/>
      <c r="P48" s="130"/>
    </row>
    <row r="49" spans="1:16" x14ac:dyDescent="0.25">
      <c r="A49" s="49"/>
      <c r="B49" s="96" t="s">
        <v>105</v>
      </c>
      <c r="C49" s="96"/>
      <c r="D49" s="96"/>
      <c r="E49" s="97" t="s">
        <v>107</v>
      </c>
      <c r="F49" s="98"/>
      <c r="G49" s="98"/>
      <c r="H49" s="99">
        <f>IF(H52&lt;50000,-50000+H52,H52-DONNÉES!D4)</f>
        <v>-24005.884232750002</v>
      </c>
      <c r="I49" s="100"/>
      <c r="J49" s="130"/>
      <c r="K49" s="98"/>
      <c r="L49" s="98"/>
      <c r="M49" s="98"/>
      <c r="N49" s="98"/>
      <c r="O49" s="98"/>
      <c r="P49" s="130"/>
    </row>
    <row r="50" spans="1:16" ht="4.5" customHeight="1" x14ac:dyDescent="0.25">
      <c r="A50" s="49"/>
      <c r="E50" s="13"/>
      <c r="F50" s="3"/>
      <c r="G50" s="3"/>
      <c r="H50" s="1"/>
      <c r="I50" s="7"/>
      <c r="J50" s="130"/>
      <c r="K50" s="1"/>
      <c r="N50" s="132"/>
      <c r="O50" s="81"/>
      <c r="P50" s="130"/>
    </row>
    <row r="51" spans="1:16" ht="18" customHeight="1" x14ac:dyDescent="0.25">
      <c r="A51" s="49"/>
      <c r="B51" t="s">
        <v>158</v>
      </c>
      <c r="E51" s="13"/>
      <c r="F51" s="3"/>
      <c r="G51" s="3"/>
      <c r="H51" s="1"/>
      <c r="I51" s="7"/>
      <c r="J51" s="130"/>
      <c r="K51" s="1"/>
      <c r="L51" s="1">
        <v>12500</v>
      </c>
      <c r="N51" s="132" t="s">
        <v>179</v>
      </c>
      <c r="O51" s="81"/>
      <c r="P51" s="130"/>
    </row>
    <row r="52" spans="1:16" ht="19.5" thickBot="1" x14ac:dyDescent="0.35">
      <c r="A52" s="49"/>
      <c r="B52" s="201" t="s">
        <v>90</v>
      </c>
      <c r="C52" s="201"/>
      <c r="D52" s="201"/>
      <c r="E52" s="201"/>
      <c r="F52" s="201"/>
      <c r="G52" s="201"/>
      <c r="H52" s="34">
        <f>H47+H42+H31+H23</f>
        <v>25994.115767249998</v>
      </c>
      <c r="I52" s="136">
        <f>H52/50000</f>
        <v>0.51988231534499996</v>
      </c>
      <c r="J52" s="130"/>
      <c r="K52" s="34"/>
      <c r="L52" s="34">
        <f>L47+L42+L31+L23</f>
        <v>24029.323393050003</v>
      </c>
      <c r="M52" s="136">
        <f>L52/50000</f>
        <v>0.48058646786100007</v>
      </c>
      <c r="N52" s="34">
        <f>N47+N42+N31+N23</f>
        <v>-1964.7923741999973</v>
      </c>
      <c r="O52" s="169">
        <f>M52-I52</f>
        <v>-3.9295847483999891E-2</v>
      </c>
      <c r="P52" s="130"/>
    </row>
    <row r="53" spans="1:16" ht="16.5" customHeight="1" x14ac:dyDescent="0.25">
      <c r="A53" s="212" t="s">
        <v>159</v>
      </c>
      <c r="B53" s="212"/>
      <c r="C53" s="212"/>
      <c r="D53" s="212"/>
      <c r="E53" s="212"/>
      <c r="F53" s="212"/>
      <c r="G53" s="212"/>
      <c r="H53" s="212"/>
      <c r="I53" s="212"/>
      <c r="J53" s="130"/>
      <c r="K53" s="213">
        <f>L52-L51</f>
        <v>11529.323393050003</v>
      </c>
      <c r="L53" s="213"/>
      <c r="M53" s="215">
        <f>K53/L52</f>
        <v>0.47980224846383429</v>
      </c>
      <c r="N53" s="174" t="s">
        <v>180</v>
      </c>
      <c r="O53" s="172"/>
      <c r="P53" s="130"/>
    </row>
    <row r="54" spans="1:16" ht="15" customHeight="1" x14ac:dyDescent="0.25">
      <c r="A54" s="212"/>
      <c r="B54" s="212"/>
      <c r="C54" s="212"/>
      <c r="D54" s="212"/>
      <c r="E54" s="212"/>
      <c r="F54" s="212"/>
      <c r="G54" s="212"/>
      <c r="H54" s="212"/>
      <c r="I54" s="212"/>
      <c r="J54" s="130"/>
      <c r="K54" s="214"/>
      <c r="L54" s="214"/>
      <c r="M54" s="216"/>
      <c r="N54" s="175" t="s">
        <v>181</v>
      </c>
      <c r="O54" s="173"/>
      <c r="P54" s="130"/>
    </row>
    <row r="55" spans="1:16" ht="8.25" customHeight="1" x14ac:dyDescent="0.25">
      <c r="D55" s="105"/>
      <c r="E55" s="147"/>
      <c r="F55" s="147"/>
      <c r="G55" s="147"/>
      <c r="H55" s="1"/>
      <c r="I55" s="7"/>
      <c r="J55" s="130"/>
      <c r="K55" s="130"/>
      <c r="L55" s="148"/>
      <c r="M55" s="130"/>
      <c r="N55" s="130"/>
      <c r="O55" s="130"/>
      <c r="P55" s="130"/>
    </row>
    <row r="56" spans="1:16" x14ac:dyDescent="0.25">
      <c r="A56" s="109" t="s">
        <v>115</v>
      </c>
      <c r="B56" s="110"/>
      <c r="C56" s="110"/>
      <c r="D56" s="110"/>
      <c r="E56" s="111"/>
      <c r="F56" s="112"/>
      <c r="G56" s="112"/>
      <c r="H56" s="113"/>
      <c r="I56" s="114" t="s">
        <v>116</v>
      </c>
    </row>
    <row r="57" spans="1:16" x14ac:dyDescent="0.25">
      <c r="A57" s="127" t="s">
        <v>117</v>
      </c>
      <c r="D57" t="str">
        <f>' BUDGET 2018-2010'!D54</f>
        <v>Retard du début du groupe; 3 semaines d'activité An 1</v>
      </c>
      <c r="E57" s="13"/>
      <c r="F57" s="3"/>
      <c r="G57" s="3"/>
      <c r="H57" s="195">
        <f>' BUDGET 2018-2010'!H54:I54</f>
        <v>43425</v>
      </c>
      <c r="I57" s="195"/>
    </row>
    <row r="58" spans="1:16" x14ac:dyDescent="0.25">
      <c r="A58" s="127" t="s">
        <v>119</v>
      </c>
      <c r="D58" t="str">
        <f>' BUDGET 2018-2010'!D55</f>
        <v>Transferts lors de fins de groupes; report An 2 = -14h</v>
      </c>
      <c r="E58" s="13"/>
      <c r="F58" s="3"/>
      <c r="G58" s="3"/>
      <c r="H58" s="195">
        <f>' BUDGET 2018-2010'!H55:I55</f>
        <v>43405</v>
      </c>
      <c r="I58" s="195"/>
    </row>
    <row r="59" spans="1:16" x14ac:dyDescent="0.25">
      <c r="A59" s="127" t="s">
        <v>124</v>
      </c>
      <c r="D59" t="str">
        <f>' BUDGET 2018-2010'!D56</f>
        <v>Retard du début du groupe; 3 semaines d'activité An 1</v>
      </c>
      <c r="E59" s="13"/>
      <c r="F59" s="3"/>
      <c r="G59" s="3"/>
      <c r="H59" s="195">
        <f>' BUDGET 2018-2010'!H56:I56</f>
        <v>43425</v>
      </c>
      <c r="I59" s="195"/>
    </row>
    <row r="60" spans="1:16" x14ac:dyDescent="0.25">
      <c r="A60" s="127" t="s">
        <v>126</v>
      </c>
      <c r="B60" s="107"/>
      <c r="D60" t="str">
        <f>' BUDGET 2018-2010'!D57</f>
        <v>Télévoteurs retirés du projet</v>
      </c>
      <c r="E60" s="13"/>
      <c r="F60" s="3"/>
      <c r="G60" s="3"/>
      <c r="H60" s="195">
        <f>' BUDGET 2018-2010'!H57:I57</f>
        <v>43405</v>
      </c>
      <c r="I60" s="195"/>
    </row>
    <row r="61" spans="1:16" x14ac:dyDescent="0.25">
      <c r="A61" s="127" t="s">
        <v>128</v>
      </c>
      <c r="D61" t="str">
        <f>' BUDGET 2018-2010'!D58</f>
        <v>Achat anticipé</v>
      </c>
      <c r="E61" s="13"/>
      <c r="F61" s="3"/>
      <c r="G61" s="3"/>
      <c r="H61" s="195">
        <f>' BUDGET 2018-2010'!H58:I58</f>
        <v>43405</v>
      </c>
      <c r="I61" s="195"/>
    </row>
    <row r="62" spans="1:16" x14ac:dyDescent="0.25">
      <c r="A62" s="127" t="str">
        <f>' BUDGET 2018-2010'!A59</f>
        <v>M11</v>
      </c>
      <c r="D62" t="str">
        <f>' BUDGET 2018-2010'!D59</f>
        <v>Ligne budgétaire ajoutée</v>
      </c>
      <c r="H62" s="195">
        <f>' BUDGET 2018-2010'!H59:I59</f>
        <v>43417</v>
      </c>
      <c r="I62" s="195"/>
    </row>
    <row r="63" spans="1:16" x14ac:dyDescent="0.25">
      <c r="A63" s="127" t="str">
        <f>' BUDGET 2018-2010'!A60</f>
        <v>M12</v>
      </c>
      <c r="D63" t="str">
        <f>' BUDGET 2018-2010'!D60</f>
        <v xml:space="preserve">Report de 14h vers An 2 dû au changement/embauche </v>
      </c>
      <c r="H63" s="195">
        <f>' BUDGET 2018-2010'!H60:I60</f>
        <v>43425</v>
      </c>
      <c r="I63" s="195"/>
    </row>
    <row r="64" spans="1:16" x14ac:dyDescent="0.25">
      <c r="A64" s="127" t="s">
        <v>176</v>
      </c>
      <c r="D64" t="s">
        <v>140</v>
      </c>
      <c r="H64" s="195">
        <v>43477</v>
      </c>
      <c r="I64" s="195"/>
    </row>
    <row r="65" spans="4:9" x14ac:dyDescent="0.25">
      <c r="D65" t="str">
        <f>IF(' BUDGET 2018-2010'!D62="","",' BUDGET 2018-2010'!D62)</f>
        <v/>
      </c>
      <c r="H65" s="195" t="str">
        <f>IF(' BUDGET 2018-2010'!H62:I62="","",' BUDGET 2018-2010'!H62:I62)</f>
        <v/>
      </c>
      <c r="I65" s="195"/>
    </row>
    <row r="66" spans="4:9" x14ac:dyDescent="0.25">
      <c r="D66" t="str">
        <f>IF(' BUDGET 2018-2010'!D63="","",' BUDGET 2018-2010'!D63)</f>
        <v/>
      </c>
      <c r="H66" s="195" t="str">
        <f>IF(' BUDGET 2018-2010'!H63:I63="","",' BUDGET 2018-2010'!H63:I63)</f>
        <v/>
      </c>
      <c r="I66" s="195"/>
    </row>
    <row r="67" spans="4:9" x14ac:dyDescent="0.25">
      <c r="D67" t="str">
        <f>IF(' BUDGET 2018-2010'!D64="","",' BUDGET 2018-2010'!D64)</f>
        <v/>
      </c>
      <c r="H67" s="195" t="str">
        <f>IF(' BUDGET 2018-2010'!H64:I64="","",' BUDGET 2018-2010'!H64:I64)</f>
        <v/>
      </c>
      <c r="I67" s="195"/>
    </row>
    <row r="68" spans="4:9" x14ac:dyDescent="0.25">
      <c r="D68" t="str">
        <f>IF(' BUDGET 2018-2010'!D65="","",' BUDGET 2018-2010'!D65)</f>
        <v/>
      </c>
    </row>
    <row r="69" spans="4:9" x14ac:dyDescent="0.25">
      <c r="D69" t="str">
        <f>IF(' BUDGET 2018-2010'!D66="","",' BUDGET 2018-2010'!D66)</f>
        <v/>
      </c>
    </row>
  </sheetData>
  <mergeCells count="20">
    <mergeCell ref="H67:I67"/>
    <mergeCell ref="H62:I62"/>
    <mergeCell ref="H63:I63"/>
    <mergeCell ref="H64:I64"/>
    <mergeCell ref="H65:I65"/>
    <mergeCell ref="H66:I66"/>
    <mergeCell ref="H59:I59"/>
    <mergeCell ref="H60:I60"/>
    <mergeCell ref="H61:I61"/>
    <mergeCell ref="N4:O4"/>
    <mergeCell ref="B4:I4"/>
    <mergeCell ref="B5:D5"/>
    <mergeCell ref="B52:G52"/>
    <mergeCell ref="H57:I57"/>
    <mergeCell ref="H58:I58"/>
    <mergeCell ref="K4:M4"/>
    <mergeCell ref="A53:I54"/>
    <mergeCell ref="K53:L54"/>
    <mergeCell ref="M53:M54"/>
    <mergeCell ref="D1:O2"/>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68"/>
  <sheetViews>
    <sheetView showZeros="0" tabSelected="1" workbookViewId="0">
      <selection activeCell="Y4" sqref="Y4"/>
    </sheetView>
  </sheetViews>
  <sheetFormatPr baseColWidth="10" defaultRowHeight="15" x14ac:dyDescent="0.25"/>
  <cols>
    <col min="1" max="3" width="1.28515625" customWidth="1"/>
    <col min="4" max="4" width="30.7109375" customWidth="1"/>
    <col min="5" max="5" width="4.28515625" customWidth="1"/>
    <col min="6" max="6" width="5.28515625" style="3" customWidth="1"/>
    <col min="7" max="7" width="11.140625" customWidth="1"/>
    <col min="8" max="8" width="16.85546875" customWidth="1"/>
    <col min="9" max="9" width="5.42578125" customWidth="1"/>
    <col min="10" max="10" width="1.7109375" customWidth="1"/>
    <col min="11" max="11" width="5" customWidth="1"/>
    <col min="12" max="12" width="17.85546875" style="1" customWidth="1"/>
    <col min="13" max="13" width="5" customWidth="1"/>
    <col min="14" max="14" width="18.85546875" customWidth="1"/>
    <col min="15" max="15" width="6" customWidth="1"/>
    <col min="16" max="17" width="1.7109375" customWidth="1"/>
    <col min="18" max="18" width="1.85546875" customWidth="1"/>
    <col min="19" max="19" width="5" customWidth="1"/>
    <col min="20" max="20" width="17.85546875" customWidth="1"/>
    <col min="21" max="21" width="5.140625" customWidth="1"/>
    <col min="22" max="22" width="18.85546875" customWidth="1"/>
    <col min="23" max="23" width="4.85546875" customWidth="1"/>
    <col min="24" max="24" width="1.85546875" customWidth="1"/>
  </cols>
  <sheetData>
    <row r="1" spans="1:24" ht="42" customHeight="1" x14ac:dyDescent="0.25">
      <c r="B1" s="217"/>
      <c r="C1" s="217"/>
      <c r="D1" s="208" t="s">
        <v>185</v>
      </c>
      <c r="E1" s="208"/>
      <c r="F1" s="208"/>
      <c r="G1" s="208"/>
      <c r="H1" s="208"/>
      <c r="I1" s="208"/>
      <c r="J1" s="208"/>
      <c r="K1" s="208"/>
      <c r="L1" s="208"/>
      <c r="M1" s="208"/>
      <c r="N1" s="208"/>
      <c r="O1" s="208"/>
      <c r="P1" s="208"/>
      <c r="Q1" s="208"/>
      <c r="R1" s="208"/>
      <c r="S1" s="208"/>
      <c r="T1" s="208"/>
      <c r="U1" s="208"/>
      <c r="V1" s="208"/>
      <c r="W1" s="208"/>
      <c r="X1" s="208"/>
    </row>
    <row r="2" spans="1:24" ht="18.75" customHeight="1" x14ac:dyDescent="0.25">
      <c r="A2" s="217"/>
      <c r="B2" s="217"/>
      <c r="C2" s="217"/>
      <c r="D2" s="208"/>
      <c r="E2" s="208"/>
      <c r="F2" s="208"/>
      <c r="G2" s="208"/>
      <c r="H2" s="208"/>
      <c r="I2" s="208"/>
      <c r="J2" s="208"/>
      <c r="K2" s="208"/>
      <c r="L2" s="208"/>
      <c r="M2" s="208"/>
      <c r="N2" s="208"/>
      <c r="O2" s="208"/>
      <c r="P2" s="208"/>
      <c r="Q2" s="208"/>
      <c r="R2" s="208"/>
      <c r="S2" s="208"/>
      <c r="T2" s="208"/>
      <c r="U2" s="208"/>
      <c r="V2" s="208"/>
      <c r="W2" s="208"/>
      <c r="X2" s="208"/>
    </row>
    <row r="3" spans="1:24" ht="8.25" customHeight="1" x14ac:dyDescent="0.25">
      <c r="J3" s="130"/>
      <c r="K3" s="130"/>
      <c r="L3" s="131"/>
      <c r="M3" s="130"/>
      <c r="N3" s="130"/>
      <c r="O3" s="130"/>
      <c r="P3" s="130"/>
      <c r="R3" s="130"/>
      <c r="S3" s="130"/>
      <c r="T3" s="131"/>
      <c r="U3" s="130"/>
      <c r="V3" s="130"/>
      <c r="W3" s="130"/>
      <c r="X3" s="130"/>
    </row>
    <row r="4" spans="1:24" ht="21.75" thickBot="1" x14ac:dyDescent="0.4">
      <c r="A4" s="41"/>
      <c r="B4" s="228" t="s">
        <v>58</v>
      </c>
      <c r="C4" s="228"/>
      <c r="D4" s="228"/>
      <c r="E4" s="228"/>
      <c r="F4" s="228"/>
      <c r="G4" s="228"/>
      <c r="H4" s="228"/>
      <c r="I4" s="228"/>
      <c r="J4" s="130"/>
      <c r="K4" s="210" t="s">
        <v>134</v>
      </c>
      <c r="L4" s="210"/>
      <c r="M4" s="211"/>
      <c r="N4" s="209" t="s">
        <v>184</v>
      </c>
      <c r="O4" s="210"/>
      <c r="P4" s="130"/>
      <c r="R4" s="130"/>
      <c r="S4" s="210" t="s">
        <v>134</v>
      </c>
      <c r="T4" s="210"/>
      <c r="U4" s="211"/>
      <c r="V4" s="209" t="s">
        <v>183</v>
      </c>
      <c r="W4" s="210"/>
      <c r="X4" s="130"/>
    </row>
    <row r="5" spans="1:24" x14ac:dyDescent="0.25">
      <c r="A5" s="42"/>
      <c r="B5" s="196" t="s">
        <v>48</v>
      </c>
      <c r="C5" s="196"/>
      <c r="D5" s="196"/>
      <c r="E5" s="14" t="s">
        <v>49</v>
      </c>
      <c r="F5" s="176" t="s">
        <v>50</v>
      </c>
      <c r="G5" s="176" t="s">
        <v>51</v>
      </c>
      <c r="H5" s="16" t="s">
        <v>5</v>
      </c>
      <c r="I5" s="16"/>
      <c r="J5" s="130"/>
      <c r="K5" s="163" t="s">
        <v>163</v>
      </c>
      <c r="L5" s="16" t="s">
        <v>5</v>
      </c>
      <c r="M5" s="16" t="s">
        <v>135</v>
      </c>
      <c r="N5" s="138" t="s">
        <v>5</v>
      </c>
      <c r="O5" s="139" t="s">
        <v>135</v>
      </c>
      <c r="P5" s="130"/>
      <c r="R5" s="130"/>
      <c r="S5" s="163" t="s">
        <v>163</v>
      </c>
      <c r="T5" s="16" t="s">
        <v>5</v>
      </c>
      <c r="U5" s="16" t="s">
        <v>135</v>
      </c>
      <c r="V5" s="138" t="s">
        <v>5</v>
      </c>
      <c r="W5" s="139" t="s">
        <v>135</v>
      </c>
      <c r="X5" s="130"/>
    </row>
    <row r="6" spans="1:24" x14ac:dyDescent="0.25">
      <c r="A6" s="43"/>
      <c r="B6" s="22" t="s">
        <v>52</v>
      </c>
      <c r="C6" s="23"/>
      <c r="D6" s="23"/>
      <c r="E6" s="24"/>
      <c r="F6" s="25"/>
      <c r="G6" s="25"/>
      <c r="H6" s="26"/>
      <c r="I6" s="26"/>
      <c r="J6" s="130"/>
      <c r="K6" s="115"/>
      <c r="L6" s="115"/>
      <c r="M6" s="129"/>
      <c r="N6" s="133"/>
      <c r="O6" s="134"/>
      <c r="P6" s="130"/>
      <c r="R6" s="130"/>
      <c r="S6" s="115"/>
      <c r="T6" s="115"/>
      <c r="U6" s="129"/>
      <c r="V6" s="133"/>
      <c r="W6" s="134"/>
      <c r="X6" s="130"/>
    </row>
    <row r="7" spans="1:24" x14ac:dyDescent="0.25">
      <c r="A7" s="43"/>
      <c r="C7" s="52" t="s">
        <v>0</v>
      </c>
      <c r="D7" s="52"/>
      <c r="E7" s="53" t="str">
        <f>' BUDGET 2018-2010'!N7</f>
        <v>#10</v>
      </c>
      <c r="F7" s="223">
        <f>' BUDGET 2018-2010'!O7</f>
        <v>1</v>
      </c>
      <c r="G7" s="55" t="str">
        <f>' BUDGET 2018-2010'!P7</f>
        <v>Éducatrice</v>
      </c>
      <c r="H7" s="1"/>
      <c r="I7" s="63">
        <f>' BUDGET 2018-2010'!R7</f>
        <v>0.62651474381467587</v>
      </c>
      <c r="J7" s="130"/>
      <c r="K7" s="165">
        <v>1</v>
      </c>
      <c r="L7" s="54" t="s">
        <v>1</v>
      </c>
      <c r="M7" s="170" t="e">
        <f>(L8+L9)/L23</f>
        <v>#DIV/0!</v>
      </c>
      <c r="N7" s="55" t="s">
        <v>1</v>
      </c>
      <c r="O7" s="135" t="e">
        <f>M7-I7</f>
        <v>#DIV/0!</v>
      </c>
      <c r="P7" s="130"/>
      <c r="R7" s="130"/>
      <c r="S7" s="165">
        <v>1</v>
      </c>
      <c r="T7" s="54" t="s">
        <v>1</v>
      </c>
      <c r="U7" s="170" t="e">
        <f>(T8+T9)/T23</f>
        <v>#DIV/0!</v>
      </c>
      <c r="V7" s="55" t="s">
        <v>1</v>
      </c>
      <c r="W7" s="135" t="e">
        <f>U7-Q7</f>
        <v>#DIV/0!</v>
      </c>
      <c r="X7" s="130"/>
    </row>
    <row r="8" spans="1:24" x14ac:dyDescent="0.25">
      <c r="A8" s="43"/>
      <c r="D8" s="2" t="str">
        <f>' BUDGET 2018-2010'!M8</f>
        <v>2 jours/semaine x 46</v>
      </c>
      <c r="E8" s="15"/>
      <c r="F8" s="51">
        <f>' BUDGET 2018-2010'!O8</f>
        <v>92</v>
      </c>
      <c r="G8" s="6" t="s">
        <v>27</v>
      </c>
      <c r="H8" s="1">
        <f>' BUDGET 2018-2010'!Q8</f>
        <v>24668.659200000002</v>
      </c>
      <c r="I8" s="63"/>
      <c r="J8" s="130"/>
      <c r="K8" s="162"/>
      <c r="N8" s="141">
        <f>L8-H8</f>
        <v>-24668.659200000002</v>
      </c>
      <c r="O8" s="81"/>
      <c r="P8" s="130"/>
      <c r="R8" s="130"/>
      <c r="S8" s="162"/>
      <c r="T8" s="1"/>
      <c r="V8" s="141">
        <f>(T8+L8)-H8</f>
        <v>-24668.659200000002</v>
      </c>
      <c r="W8" s="81"/>
      <c r="X8" s="130"/>
    </row>
    <row r="9" spans="1:24" x14ac:dyDescent="0.25">
      <c r="A9" s="43"/>
      <c r="D9" s="2"/>
      <c r="E9" s="15"/>
      <c r="F9" s="176"/>
      <c r="G9" s="6"/>
      <c r="H9" s="1"/>
      <c r="I9" s="63"/>
      <c r="J9" s="130"/>
      <c r="K9" s="162"/>
      <c r="N9" s="141"/>
      <c r="O9" s="81"/>
      <c r="P9" s="130"/>
      <c r="R9" s="130"/>
      <c r="S9" s="162"/>
      <c r="T9" s="1"/>
      <c r="V9" s="141"/>
      <c r="W9" s="81"/>
      <c r="X9" s="130"/>
    </row>
    <row r="10" spans="1:24" x14ac:dyDescent="0.25">
      <c r="A10" s="43"/>
      <c r="C10" s="52" t="s">
        <v>3</v>
      </c>
      <c r="D10" s="2"/>
      <c r="E10" s="53" t="s">
        <v>89</v>
      </c>
      <c r="F10" s="224">
        <f>' BUDGET 2018-2010'!O10</f>
        <v>1</v>
      </c>
      <c r="G10" s="55" t="s">
        <v>4</v>
      </c>
      <c r="H10" s="1"/>
      <c r="I10" s="63">
        <f>' BUDGET 2018-2010'!R10</f>
        <v>0.19495118492733002</v>
      </c>
      <c r="J10" s="130"/>
      <c r="K10" s="166">
        <v>1</v>
      </c>
      <c r="L10" s="55" t="s">
        <v>4</v>
      </c>
      <c r="M10" s="170" t="e">
        <f>SUM(L11:L13)/L23</f>
        <v>#DIV/0!</v>
      </c>
      <c r="N10" s="55" t="s">
        <v>4</v>
      </c>
      <c r="O10" s="135" t="e">
        <f>M10-I10</f>
        <v>#DIV/0!</v>
      </c>
      <c r="P10" s="130"/>
      <c r="R10" s="130"/>
      <c r="S10" s="166">
        <v>1</v>
      </c>
      <c r="T10" s="55" t="s">
        <v>4</v>
      </c>
      <c r="U10" s="170" t="e">
        <f>SUM(T11:T13)/T23</f>
        <v>#DIV/0!</v>
      </c>
      <c r="V10" s="55" t="s">
        <v>4</v>
      </c>
      <c r="W10" s="135" t="e">
        <f>U10-Q10</f>
        <v>#DIV/0!</v>
      </c>
      <c r="X10" s="130"/>
    </row>
    <row r="11" spans="1:24" x14ac:dyDescent="0.25">
      <c r="A11" s="43"/>
      <c r="D11" s="2" t="str">
        <f>' BUDGET 2018-2010'!M11</f>
        <v>24 semaines x 3h + 5 sem An 1</v>
      </c>
      <c r="E11" s="13"/>
      <c r="F11" s="51">
        <f>' BUDGET 2018-2010'!O11</f>
        <v>87</v>
      </c>
      <c r="G11" s="6" t="s">
        <v>30</v>
      </c>
      <c r="H11" s="1">
        <f>' BUDGET 2018-2010'!Q11</f>
        <v>2305.0092627540002</v>
      </c>
      <c r="I11" s="218" t="str">
        <f>' BUDGET 2018-2010'!R11</f>
        <v>M2</v>
      </c>
      <c r="J11" s="130"/>
      <c r="K11" s="162"/>
      <c r="L11" s="1">
        <f>K11*DONNÉES!O8</f>
        <v>0</v>
      </c>
      <c r="N11" s="141">
        <f t="shared" ref="N9:N22" si="0">L11-H11</f>
        <v>-2305.0092627540002</v>
      </c>
      <c r="O11" s="81"/>
      <c r="P11" s="130"/>
      <c r="R11" s="130"/>
      <c r="S11" s="162"/>
      <c r="T11" s="1">
        <f>S11*DONNÉES!O8</f>
        <v>0</v>
      </c>
      <c r="V11" s="141">
        <f t="shared" ref="V11:V18" si="1">(T11+L11)-H11</f>
        <v>-2305.0092627540002</v>
      </c>
      <c r="W11" s="81"/>
      <c r="X11" s="130"/>
    </row>
    <row r="12" spans="1:24" x14ac:dyDescent="0.25">
      <c r="A12" s="43"/>
      <c r="D12" s="2" t="str">
        <f>' BUDGET 2018-2010'!M12</f>
        <v>35h animation en sous-groupe</v>
      </c>
      <c r="E12" s="13"/>
      <c r="F12" s="51">
        <f>' BUDGET 2018-2010'!O12</f>
        <v>35</v>
      </c>
      <c r="G12" s="6" t="s">
        <v>30</v>
      </c>
      <c r="H12" s="1">
        <f>' BUDGET 2018-2010'!Q12</f>
        <v>927.30257697000013</v>
      </c>
      <c r="I12" s="218"/>
      <c r="J12" s="130"/>
      <c r="K12" s="162"/>
      <c r="L12" s="1">
        <f>K12*DONNÉES!O8</f>
        <v>0</v>
      </c>
      <c r="N12" s="141">
        <f t="shared" si="0"/>
        <v>-927.30257697000013</v>
      </c>
      <c r="O12" s="81"/>
      <c r="P12" s="130"/>
      <c r="R12" s="130"/>
      <c r="S12" s="162"/>
      <c r="T12" s="1">
        <f>S12*DONNÉES!O8</f>
        <v>0</v>
      </c>
      <c r="V12" s="141">
        <f t="shared" si="1"/>
        <v>-927.30257697000013</v>
      </c>
      <c r="W12" s="81"/>
      <c r="X12" s="130"/>
    </row>
    <row r="13" spans="1:24" x14ac:dyDescent="0.25">
      <c r="A13" s="43"/>
      <c r="D13" s="2" t="str">
        <f>' BUDGET 2018-2010'!M13</f>
        <v>70h suivis et transferts + 14 An 1</v>
      </c>
      <c r="E13" s="13"/>
      <c r="F13" s="51">
        <f>' BUDGET 2018-2010'!O13</f>
        <v>84</v>
      </c>
      <c r="G13" s="6" t="s">
        <v>30</v>
      </c>
      <c r="H13" s="1">
        <f>' BUDGET 2018-2010'!Q13</f>
        <v>2225.5261847280003</v>
      </c>
      <c r="I13" s="218" t="str">
        <f>' BUDGET 2018-2010'!R13</f>
        <v>M4</v>
      </c>
      <c r="J13" s="130"/>
      <c r="K13" s="162"/>
      <c r="L13" s="1">
        <f>K13*DONNÉES!O8</f>
        <v>0</v>
      </c>
      <c r="N13" s="141">
        <f t="shared" si="0"/>
        <v>-2225.5261847280003</v>
      </c>
      <c r="O13" s="81"/>
      <c r="P13" s="130"/>
      <c r="R13" s="130"/>
      <c r="S13" s="162"/>
      <c r="T13" s="1">
        <f>S13*DONNÉES!O8</f>
        <v>0</v>
      </c>
      <c r="V13" s="141">
        <f t="shared" si="1"/>
        <v>-2225.5261847280003</v>
      </c>
      <c r="W13" s="81"/>
      <c r="X13" s="130"/>
    </row>
    <row r="14" spans="1:24" x14ac:dyDescent="0.25">
      <c r="A14" s="43"/>
      <c r="D14" s="2" t="str">
        <f>' BUDGET 2018-2010'!M14</f>
        <v>+14h (développement An 1)</v>
      </c>
      <c r="E14" s="13"/>
      <c r="F14" s="51">
        <f>' BUDGET 2018-2010'!O14</f>
        <v>14</v>
      </c>
      <c r="G14" s="6" t="s">
        <v>30</v>
      </c>
      <c r="H14" s="1">
        <f>' BUDGET 2018-2010'!Q14</f>
        <v>363.6480694</v>
      </c>
      <c r="I14" s="218" t="str">
        <f>' BUDGET 2018-2010'!R14</f>
        <v>M13</v>
      </c>
      <c r="J14" s="130"/>
      <c r="K14" s="162"/>
      <c r="L14" s="1">
        <f>K14*DONNÉES!O8</f>
        <v>0</v>
      </c>
      <c r="N14" s="141">
        <f t="shared" si="0"/>
        <v>-363.6480694</v>
      </c>
      <c r="O14" s="81"/>
      <c r="P14" s="130"/>
      <c r="R14" s="130"/>
      <c r="S14" s="162"/>
      <c r="T14" s="1">
        <f>S14*DONNÉES!O8</f>
        <v>0</v>
      </c>
      <c r="V14" s="141">
        <f t="shared" si="1"/>
        <v>-363.6480694</v>
      </c>
      <c r="W14" s="81"/>
      <c r="X14" s="130"/>
    </row>
    <row r="15" spans="1:24" x14ac:dyDescent="0.25">
      <c r="A15" s="43"/>
      <c r="D15" s="2" t="str">
        <f>' BUDGET 2018-2010'!M15</f>
        <v>70h équivalence scolaire</v>
      </c>
      <c r="E15" s="13" t="s">
        <v>77</v>
      </c>
      <c r="F15" s="51">
        <f>' BUDGET 2018-2010'!O15</f>
        <v>70</v>
      </c>
      <c r="G15" s="3" t="s">
        <v>30</v>
      </c>
      <c r="H15" s="1">
        <f>' BUDGET 2018-2010'!Q15</f>
        <v>1854.6051539400003</v>
      </c>
      <c r="I15" s="63"/>
      <c r="J15" s="130"/>
      <c r="K15" s="162"/>
      <c r="L15" s="1">
        <f>K15*DONNÉES!O8</f>
        <v>0</v>
      </c>
      <c r="N15" s="141">
        <f t="shared" si="0"/>
        <v>-1854.6051539400003</v>
      </c>
      <c r="O15" s="81"/>
      <c r="P15" s="130"/>
      <c r="R15" s="130"/>
      <c r="S15" s="162"/>
      <c r="T15" s="1">
        <f>S15*DONNÉES!O8</f>
        <v>0</v>
      </c>
      <c r="V15" s="141">
        <f t="shared" si="1"/>
        <v>-1854.6051539400003</v>
      </c>
      <c r="W15" s="81"/>
      <c r="X15" s="130"/>
    </row>
    <row r="16" spans="1:24" x14ac:dyDescent="0.25">
      <c r="A16" s="43"/>
      <c r="C16" s="52" t="s">
        <v>25</v>
      </c>
      <c r="D16" s="2"/>
      <c r="E16" s="53" t="s">
        <v>87</v>
      </c>
      <c r="F16" s="223">
        <f>' BUDGET 2018-2010'!O16</f>
        <v>1</v>
      </c>
      <c r="G16" s="55" t="s">
        <v>1</v>
      </c>
      <c r="H16" s="1"/>
      <c r="I16" s="63">
        <f>' BUDGET 2018-2010'!R16</f>
        <v>5.1843436023935312E-2</v>
      </c>
      <c r="J16" s="130"/>
      <c r="K16" s="223">
        <f>' BUDGET 2018-2010'!O16</f>
        <v>1</v>
      </c>
      <c r="L16" s="55" t="s">
        <v>1</v>
      </c>
      <c r="N16" s="225" t="str">
        <f>L16</f>
        <v>Éducatrice</v>
      </c>
      <c r="O16" s="81"/>
      <c r="P16" s="130"/>
      <c r="R16" s="130"/>
      <c r="S16" s="223">
        <f>' BUDGET 2018-2010'!O16</f>
        <v>1</v>
      </c>
      <c r="T16" s="55" t="s">
        <v>1</v>
      </c>
      <c r="V16" s="225" t="str">
        <f>T16</f>
        <v>Éducatrice</v>
      </c>
      <c r="W16" s="81"/>
      <c r="X16" s="130"/>
    </row>
    <row r="17" spans="1:24" x14ac:dyDescent="0.25">
      <c r="A17" s="43"/>
      <c r="D17" s="2" t="str">
        <f>' BUDGET 2018-2010'!M17</f>
        <v>Développement Autonomie</v>
      </c>
      <c r="E17" s="13"/>
      <c r="F17" s="51">
        <f>' BUDGET 2018-2010'!O17</f>
        <v>35</v>
      </c>
      <c r="G17" s="3" t="s">
        <v>30</v>
      </c>
      <c r="H17" s="1">
        <f>' BUDGET 2018-2010'!Q17</f>
        <v>1210.9440000000002</v>
      </c>
      <c r="I17" s="63"/>
      <c r="J17" s="130"/>
      <c r="K17" s="162"/>
      <c r="L17" s="1">
        <f>K17*DONNÉES!O10</f>
        <v>0</v>
      </c>
      <c r="N17" s="141">
        <f t="shared" si="0"/>
        <v>-1210.9440000000002</v>
      </c>
      <c r="O17" s="81"/>
      <c r="P17" s="130"/>
      <c r="R17" s="130"/>
      <c r="S17" s="162"/>
      <c r="T17" s="1">
        <f>S17*DONNÉES!O10</f>
        <v>0</v>
      </c>
      <c r="V17" s="141">
        <f t="shared" si="1"/>
        <v>-1210.9440000000002</v>
      </c>
      <c r="W17" s="81"/>
      <c r="X17" s="130"/>
    </row>
    <row r="18" spans="1:24" x14ac:dyDescent="0.25">
      <c r="A18" s="43"/>
      <c r="D18" s="2" t="str">
        <f>' BUDGET 2018-2010'!M18</f>
        <v>8 sem x 3h Animation Autonomie</v>
      </c>
      <c r="E18" s="13"/>
      <c r="F18" s="51">
        <f>' BUDGET 2018-2010'!O18</f>
        <v>24</v>
      </c>
      <c r="G18" s="3" t="s">
        <v>30</v>
      </c>
      <c r="H18" s="1">
        <f>' BUDGET 2018-2010'!Q18</f>
        <v>830.36160000000018</v>
      </c>
      <c r="I18" s="63"/>
      <c r="J18" s="130"/>
      <c r="K18" s="162"/>
      <c r="L18" s="1">
        <f>K18*DONNÉES!O10</f>
        <v>0</v>
      </c>
      <c r="N18" s="141">
        <f t="shared" si="0"/>
        <v>-830.36160000000018</v>
      </c>
      <c r="O18" s="81"/>
      <c r="P18" s="130"/>
      <c r="R18" s="130"/>
      <c r="S18" s="162"/>
      <c r="T18" s="1">
        <f>S18*DONNÉES!O10</f>
        <v>0</v>
      </c>
      <c r="V18" s="141">
        <f t="shared" si="1"/>
        <v>-830.36160000000018</v>
      </c>
      <c r="W18" s="81"/>
      <c r="X18" s="130"/>
    </row>
    <row r="19" spans="1:24" x14ac:dyDescent="0.25">
      <c r="A19" s="43"/>
      <c r="D19" s="2"/>
      <c r="E19" s="13"/>
      <c r="F19" s="176"/>
      <c r="G19" s="3"/>
      <c r="H19" s="1"/>
      <c r="I19" s="63"/>
      <c r="J19" s="130"/>
      <c r="K19" s="162"/>
      <c r="N19" s="141"/>
      <c r="O19" s="81"/>
      <c r="P19" s="130"/>
      <c r="R19" s="130"/>
      <c r="S19" s="162"/>
      <c r="T19" s="1"/>
      <c r="V19" s="141"/>
      <c r="W19" s="81"/>
      <c r="X19" s="130"/>
    </row>
    <row r="20" spans="1:24" x14ac:dyDescent="0.25">
      <c r="A20" s="43"/>
      <c r="D20" s="2"/>
      <c r="E20" s="13"/>
      <c r="F20" s="176"/>
      <c r="G20" s="3"/>
      <c r="H20" s="1"/>
      <c r="I20" s="63"/>
      <c r="J20" s="130"/>
      <c r="K20" s="162"/>
      <c r="N20" s="141"/>
      <c r="O20" s="81"/>
      <c r="P20" s="130"/>
      <c r="R20" s="130"/>
      <c r="S20" s="162"/>
      <c r="T20" s="1"/>
      <c r="V20" s="141"/>
      <c r="W20" s="81"/>
      <c r="X20" s="130"/>
    </row>
    <row r="21" spans="1:24" x14ac:dyDescent="0.25">
      <c r="A21" s="43"/>
      <c r="C21" s="52" t="s">
        <v>9</v>
      </c>
      <c r="D21" s="2"/>
      <c r="E21" s="53" t="s">
        <v>41</v>
      </c>
      <c r="F21" s="224">
        <f>' BUDGET 2018-2010'!O21</f>
        <v>1</v>
      </c>
      <c r="G21" s="55" t="s">
        <v>10</v>
      </c>
      <c r="H21" s="1"/>
      <c r="I21" s="63">
        <f>' BUDGET 2018-2010'!R21</f>
        <v>0.12669063523405874</v>
      </c>
      <c r="J21" s="130"/>
      <c r="K21" s="164">
        <v>1</v>
      </c>
      <c r="L21" s="55" t="s">
        <v>10</v>
      </c>
      <c r="M21" s="170" t="e">
        <f>L22/L23</f>
        <v>#DIV/0!</v>
      </c>
      <c r="N21" s="55" t="s">
        <v>10</v>
      </c>
      <c r="O21" s="135" t="e">
        <f>M21-I21</f>
        <v>#DIV/0!</v>
      </c>
      <c r="P21" s="130"/>
      <c r="R21" s="130"/>
      <c r="S21" s="164">
        <v>1</v>
      </c>
      <c r="T21" s="55" t="s">
        <v>10</v>
      </c>
      <c r="U21" s="170" t="e">
        <f>T22/T23</f>
        <v>#DIV/0!</v>
      </c>
      <c r="V21" s="55" t="s">
        <v>10</v>
      </c>
      <c r="W21" s="135" t="e">
        <f>U21-Q21</f>
        <v>#DIV/0!</v>
      </c>
      <c r="X21" s="130"/>
    </row>
    <row r="22" spans="1:24" x14ac:dyDescent="0.25">
      <c r="A22" s="44"/>
      <c r="D22" s="2" t="str">
        <f>' BUDGET 2018-2010'!M22</f>
        <v>29 semaines x 1 jour</v>
      </c>
      <c r="E22" s="13"/>
      <c r="F22" s="51">
        <f>' BUDGET 2018-2010'!O22</f>
        <v>29</v>
      </c>
      <c r="G22" s="3" t="s">
        <v>27</v>
      </c>
      <c r="H22" s="1">
        <f>' BUDGET 2018-2010'!Q22</f>
        <v>4988.3712000000005</v>
      </c>
      <c r="I22" s="218" t="str">
        <f>' BUDGET 2018-2010'!R22</f>
        <v>M6</v>
      </c>
      <c r="J22" s="130"/>
      <c r="K22" s="162"/>
      <c r="L22" s="1">
        <f>K22*DONNÉES!L9</f>
        <v>0</v>
      </c>
      <c r="N22" s="141">
        <f t="shared" si="0"/>
        <v>-4988.3712000000005</v>
      </c>
      <c r="O22" s="81"/>
      <c r="P22" s="130"/>
      <c r="R22" s="130"/>
      <c r="S22" s="162"/>
      <c r="T22" s="1">
        <f>S22*DONNÉES!L9</f>
        <v>0</v>
      </c>
      <c r="V22" s="141">
        <f t="shared" ref="V22" si="2">(T22+L22)-H22</f>
        <v>-4988.3712000000005</v>
      </c>
      <c r="W22" s="81"/>
      <c r="X22" s="130"/>
    </row>
    <row r="23" spans="1:24" ht="15.75" thickBot="1" x14ac:dyDescent="0.3">
      <c r="A23" s="45"/>
      <c r="B23" s="18" t="s">
        <v>54</v>
      </c>
      <c r="C23" s="18"/>
      <c r="D23" s="18"/>
      <c r="E23" s="19"/>
      <c r="F23" s="20"/>
      <c r="G23" s="20"/>
      <c r="H23" s="21">
        <f>' BUDGET 2018-2010'!Q23</f>
        <v>39374.427247792009</v>
      </c>
      <c r="I23" s="62">
        <f>' BUDGET 2018-2010'!R23</f>
        <v>0.75626352442899158</v>
      </c>
      <c r="J23" s="130"/>
      <c r="K23" s="21"/>
      <c r="L23" s="21">
        <f>SUM(L8:L22)</f>
        <v>0</v>
      </c>
      <c r="M23" s="66" t="e">
        <f>L23/L51</f>
        <v>#DIV/0!</v>
      </c>
      <c r="N23" s="142">
        <f>L23-H23</f>
        <v>-39374.427247792009</v>
      </c>
      <c r="O23" s="137" t="e">
        <f>M23-I23</f>
        <v>#DIV/0!</v>
      </c>
      <c r="P23" s="130"/>
      <c r="R23" s="130"/>
      <c r="S23" s="21"/>
      <c r="T23" s="21">
        <f>SUM(T8:T22)</f>
        <v>0</v>
      </c>
      <c r="U23" s="66" t="e">
        <f>T23/T51</f>
        <v>#DIV/0!</v>
      </c>
      <c r="V23" s="142">
        <f>(T23+L23)-H23</f>
        <v>-39374.427247792009</v>
      </c>
      <c r="W23" s="137" t="e">
        <f>U23-Q23</f>
        <v>#DIV/0!</v>
      </c>
      <c r="X23" s="130"/>
    </row>
    <row r="24" spans="1:24" ht="5.25" customHeight="1" thickTop="1" x14ac:dyDescent="0.25">
      <c r="A24" s="43"/>
      <c r="E24" s="13"/>
      <c r="G24" s="3"/>
      <c r="H24" s="1"/>
      <c r="I24" s="1"/>
      <c r="J24" s="130"/>
      <c r="K24" s="1"/>
      <c r="N24" s="132"/>
      <c r="O24" s="81"/>
      <c r="P24" s="130"/>
      <c r="R24" s="130"/>
      <c r="S24" s="1"/>
      <c r="T24" s="1"/>
      <c r="V24" s="132"/>
      <c r="W24" s="81"/>
      <c r="X24" s="130"/>
    </row>
    <row r="25" spans="1:24" x14ac:dyDescent="0.25">
      <c r="A25" s="43"/>
      <c r="B25" s="22" t="s">
        <v>53</v>
      </c>
      <c r="C25" s="22"/>
      <c r="D25" s="22"/>
      <c r="E25" s="27"/>
      <c r="F25" s="28"/>
      <c r="G25" s="28"/>
      <c r="H25" s="29"/>
      <c r="I25" s="29"/>
      <c r="J25" s="130"/>
      <c r="K25" s="115"/>
      <c r="L25" s="115"/>
      <c r="M25" s="129"/>
      <c r="N25" s="133"/>
      <c r="O25" s="134"/>
      <c r="P25" s="130"/>
      <c r="R25" s="130"/>
      <c r="S25" s="115"/>
      <c r="T25" s="115"/>
      <c r="U25" s="129"/>
      <c r="V25" s="133"/>
      <c r="W25" s="134"/>
      <c r="X25" s="130"/>
    </row>
    <row r="26" spans="1:24" x14ac:dyDescent="0.25">
      <c r="A26" s="43"/>
      <c r="C26" s="36" t="s">
        <v>11</v>
      </c>
      <c r="D26" s="36"/>
      <c r="E26" s="37" t="s">
        <v>42</v>
      </c>
      <c r="G26" s="38" t="s">
        <v>12</v>
      </c>
      <c r="H26" s="1">
        <f>' BUDGET 2018-2010'!Q26</f>
        <v>0</v>
      </c>
      <c r="I26" s="1"/>
      <c r="J26" s="130"/>
      <c r="K26" s="162"/>
      <c r="L26" s="1">
        <f>K26*DONNÉES!E13</f>
        <v>0</v>
      </c>
      <c r="N26" s="141">
        <f t="shared" ref="N26:N30" si="3">L26-H26</f>
        <v>0</v>
      </c>
      <c r="O26" s="81"/>
      <c r="P26" s="130"/>
      <c r="R26" s="130"/>
      <c r="S26" s="162"/>
      <c r="T26" s="1">
        <f>S26*DONNÉES!E13</f>
        <v>0</v>
      </c>
      <c r="V26" s="141">
        <f t="shared" ref="V26:V30" si="4">T26-P26</f>
        <v>0</v>
      </c>
      <c r="W26" s="81"/>
      <c r="X26" s="130"/>
    </row>
    <row r="27" spans="1:24" x14ac:dyDescent="0.25">
      <c r="A27" s="46"/>
      <c r="C27" s="36" t="s">
        <v>13</v>
      </c>
      <c r="D27" s="36"/>
      <c r="E27" s="37" t="s">
        <v>43</v>
      </c>
      <c r="G27" s="38" t="s">
        <v>34</v>
      </c>
      <c r="H27" s="1">
        <f>' BUDGET 2018-2010'!Q27</f>
        <v>0</v>
      </c>
      <c r="I27" s="40"/>
      <c r="J27" s="130"/>
      <c r="K27" s="161"/>
      <c r="N27" s="141">
        <f t="shared" si="3"/>
        <v>0</v>
      </c>
      <c r="O27" s="81"/>
      <c r="P27" s="130"/>
      <c r="R27" s="130"/>
      <c r="S27" s="161"/>
      <c r="T27" s="1"/>
      <c r="V27" s="141">
        <f t="shared" si="4"/>
        <v>0</v>
      </c>
      <c r="W27" s="81"/>
      <c r="X27" s="130"/>
    </row>
    <row r="28" spans="1:24" x14ac:dyDescent="0.25">
      <c r="A28" s="46"/>
      <c r="C28" s="36" t="s">
        <v>14</v>
      </c>
      <c r="D28" s="36"/>
      <c r="E28" s="37" t="s">
        <v>44</v>
      </c>
      <c r="G28" s="38" t="s">
        <v>16</v>
      </c>
      <c r="H28" s="1">
        <f>' BUDGET 2018-2010'!Q28</f>
        <v>0</v>
      </c>
      <c r="I28" s="40"/>
      <c r="J28" s="130"/>
      <c r="K28" s="162"/>
      <c r="L28" s="1">
        <f>K28*DONNÉES!E15</f>
        <v>0</v>
      </c>
      <c r="N28" s="141">
        <f t="shared" si="3"/>
        <v>0</v>
      </c>
      <c r="O28" s="81"/>
      <c r="P28" s="130"/>
      <c r="R28" s="130"/>
      <c r="S28" s="162"/>
      <c r="T28" s="1">
        <f>S28*DONNÉES!E15</f>
        <v>0</v>
      </c>
      <c r="V28" s="141">
        <f t="shared" si="4"/>
        <v>0</v>
      </c>
      <c r="W28" s="81"/>
      <c r="X28" s="130"/>
    </row>
    <row r="29" spans="1:24" x14ac:dyDescent="0.25">
      <c r="A29" s="43"/>
      <c r="C29" s="36" t="s">
        <v>15</v>
      </c>
      <c r="D29" s="36"/>
      <c r="E29" s="37" t="s">
        <v>44</v>
      </c>
      <c r="G29" s="38" t="s">
        <v>15</v>
      </c>
      <c r="H29" s="1">
        <f>' BUDGET 2018-2010'!Q29</f>
        <v>0</v>
      </c>
      <c r="I29" s="1"/>
      <c r="J29" s="130"/>
      <c r="K29" s="162"/>
      <c r="L29" s="1">
        <f>K29*DONNÉES!E17</f>
        <v>0</v>
      </c>
      <c r="N29" s="141">
        <f t="shared" si="3"/>
        <v>0</v>
      </c>
      <c r="O29" s="81"/>
      <c r="P29" s="130"/>
      <c r="R29" s="130"/>
      <c r="S29" s="162"/>
      <c r="T29" s="1">
        <f>S29*DONNÉES!E17</f>
        <v>0</v>
      </c>
      <c r="V29" s="141">
        <f t="shared" si="4"/>
        <v>0</v>
      </c>
      <c r="W29" s="81"/>
      <c r="X29" s="130"/>
    </row>
    <row r="30" spans="1:24" x14ac:dyDescent="0.25">
      <c r="A30" s="43"/>
      <c r="C30" s="36" t="s">
        <v>17</v>
      </c>
      <c r="D30" s="36"/>
      <c r="E30" s="37" t="s">
        <v>44</v>
      </c>
      <c r="G30" s="38" t="s">
        <v>18</v>
      </c>
      <c r="H30" s="1">
        <f>' BUDGET 2018-2010'!Q30</f>
        <v>0</v>
      </c>
      <c r="I30" s="1"/>
      <c r="J30" s="130"/>
      <c r="K30" s="162"/>
      <c r="L30" s="1">
        <f>K30*DONNÉES!E18</f>
        <v>0</v>
      </c>
      <c r="N30" s="141">
        <f t="shared" si="3"/>
        <v>0</v>
      </c>
      <c r="O30" s="81"/>
      <c r="P30" s="130"/>
      <c r="R30" s="130"/>
      <c r="S30" s="162"/>
      <c r="T30" s="1">
        <f>S30*DONNÉES!E18</f>
        <v>0</v>
      </c>
      <c r="V30" s="141">
        <f t="shared" si="4"/>
        <v>0</v>
      </c>
      <c r="W30" s="81"/>
      <c r="X30" s="130"/>
    </row>
    <row r="31" spans="1:24" ht="15.75" thickBot="1" x14ac:dyDescent="0.3">
      <c r="A31" s="45"/>
      <c r="B31" s="18" t="s">
        <v>55</v>
      </c>
      <c r="C31" s="18"/>
      <c r="D31" s="18"/>
      <c r="E31" s="19"/>
      <c r="F31" s="20"/>
      <c r="G31" s="20"/>
      <c r="H31" s="21">
        <f>' BUDGET 2018-2010'!Q31</f>
        <v>0</v>
      </c>
      <c r="I31" s="66">
        <f>' BUDGET 2018-2010'!R31</f>
        <v>0</v>
      </c>
      <c r="J31" s="130"/>
      <c r="K31" s="140"/>
      <c r="L31" s="140">
        <f>SUM(L26:L30)</f>
        <v>0</v>
      </c>
      <c r="M31" s="66" t="e">
        <f>L31/L51</f>
        <v>#DIV/0!</v>
      </c>
      <c r="N31" s="142">
        <f>L31-H31</f>
        <v>0</v>
      </c>
      <c r="O31" s="137" t="e">
        <f>M31-I31</f>
        <v>#DIV/0!</v>
      </c>
      <c r="P31" s="130"/>
      <c r="R31" s="130"/>
      <c r="S31" s="140"/>
      <c r="T31" s="140">
        <f>SUM(T26:T30)</f>
        <v>0</v>
      </c>
      <c r="U31" s="66" t="e">
        <f>T31/T51</f>
        <v>#DIV/0!</v>
      </c>
      <c r="V31" s="142">
        <f>(T31+L31)-H31</f>
        <v>0</v>
      </c>
      <c r="W31" s="137" t="e">
        <f>U31-Q31</f>
        <v>#DIV/0!</v>
      </c>
      <c r="X31" s="130"/>
    </row>
    <row r="32" spans="1:24" ht="5.25" customHeight="1" thickTop="1" x14ac:dyDescent="0.25">
      <c r="A32" s="43"/>
      <c r="E32" s="13"/>
      <c r="G32" s="3"/>
      <c r="H32" s="1"/>
      <c r="I32" s="1"/>
      <c r="J32" s="130"/>
      <c r="K32" s="1"/>
      <c r="N32" s="132"/>
      <c r="O32" s="81"/>
      <c r="P32" s="130"/>
      <c r="R32" s="130"/>
      <c r="S32" s="1"/>
      <c r="T32" s="1"/>
      <c r="V32" s="132"/>
      <c r="W32" s="81"/>
      <c r="X32" s="130"/>
    </row>
    <row r="33" spans="1:24" x14ac:dyDescent="0.25">
      <c r="A33" s="43"/>
      <c r="B33" s="30" t="s">
        <v>56</v>
      </c>
      <c r="C33" s="30"/>
      <c r="D33" s="30"/>
      <c r="E33" s="31"/>
      <c r="F33" s="32"/>
      <c r="G33" s="32"/>
      <c r="H33" s="33"/>
      <c r="I33" s="33"/>
      <c r="J33" s="130"/>
      <c r="K33" s="115"/>
      <c r="L33" s="115"/>
      <c r="M33" s="129"/>
      <c r="N33" s="133"/>
      <c r="O33" s="134"/>
      <c r="P33" s="130"/>
      <c r="R33" s="130"/>
      <c r="S33" s="115"/>
      <c r="T33" s="115"/>
      <c r="U33" s="129"/>
      <c r="V33" s="133"/>
      <c r="W33" s="134"/>
      <c r="X33" s="130"/>
    </row>
    <row r="34" spans="1:24" x14ac:dyDescent="0.25">
      <c r="A34" s="43"/>
      <c r="C34" t="str">
        <f>' BUDGET 2018-2010'!L34</f>
        <v>Collations/jeunes x groupe</v>
      </c>
      <c r="E34" s="13"/>
      <c r="F34" s="3">
        <f>' BUDGET 2018-2010'!O34</f>
        <v>3</v>
      </c>
      <c r="G34" s="3" t="str">
        <f>' BUDGET 2018-2010'!P34</f>
        <v>atelier</v>
      </c>
      <c r="H34" s="7">
        <f>' BUDGET 2018-2010'!Q34</f>
        <v>750</v>
      </c>
      <c r="I34" s="39">
        <f>' BUDGET 2018-2010'!R34</f>
        <v>0</v>
      </c>
      <c r="J34" s="130"/>
      <c r="K34" s="162"/>
      <c r="L34" s="1">
        <f>K34*DONNÉES!E21</f>
        <v>0</v>
      </c>
      <c r="N34" s="141">
        <f t="shared" ref="N34:N41" si="5">L34-H34</f>
        <v>-750</v>
      </c>
      <c r="O34" s="81"/>
      <c r="P34" s="130"/>
      <c r="R34" s="130"/>
      <c r="S34" s="162"/>
      <c r="T34" s="1">
        <f>S34*DONNÉES!M21</f>
        <v>0</v>
      </c>
      <c r="V34" s="141">
        <f t="shared" ref="V34:V41" si="6">T34-P34</f>
        <v>0</v>
      </c>
      <c r="W34" s="81"/>
      <c r="X34" s="130"/>
    </row>
    <row r="35" spans="1:24" x14ac:dyDescent="0.25">
      <c r="A35" s="43"/>
      <c r="C35" t="str">
        <f>' BUDGET 2018-2010'!L35</f>
        <v>Collations/jeunes x sous-groupe</v>
      </c>
      <c r="E35" s="13"/>
      <c r="F35" s="3">
        <f>' BUDGET 2018-2010'!O35</f>
        <v>3</v>
      </c>
      <c r="G35" s="3" t="str">
        <f>' BUDGET 2018-2010'!P35</f>
        <v>atelier</v>
      </c>
      <c r="H35" s="7">
        <f>' BUDGET 2018-2010'!Q35</f>
        <v>750</v>
      </c>
      <c r="I35" s="39">
        <f>' BUDGET 2018-2010'!R35</f>
        <v>0</v>
      </c>
      <c r="J35" s="130"/>
      <c r="K35" s="161"/>
      <c r="N35" s="141">
        <f t="shared" si="5"/>
        <v>-750</v>
      </c>
      <c r="O35" s="81"/>
      <c r="P35" s="130"/>
      <c r="R35" s="130"/>
      <c r="S35" s="161"/>
      <c r="T35" s="1"/>
      <c r="V35" s="141">
        <f t="shared" si="6"/>
        <v>0</v>
      </c>
      <c r="W35" s="81"/>
      <c r="X35" s="130"/>
    </row>
    <row r="36" spans="1:24" x14ac:dyDescent="0.25">
      <c r="A36" s="43"/>
      <c r="C36" t="str">
        <f>' BUDGET 2018-2010'!L36</f>
        <v>Panier du participant</v>
      </c>
      <c r="E36" s="13" t="str">
        <f>' BUDGET 2018-2010'!N36</f>
        <v>#5</v>
      </c>
      <c r="F36" s="3">
        <f>' BUDGET 2018-2010'!O36</f>
        <v>36</v>
      </c>
      <c r="G36" s="3" t="str">
        <f>' BUDGET 2018-2010'!P36</f>
        <v>panier</v>
      </c>
      <c r="H36" s="7">
        <f>' BUDGET 2018-2010'!Q36</f>
        <v>3600</v>
      </c>
      <c r="I36" s="39">
        <f>' BUDGET 2018-2010'!R36</f>
        <v>0</v>
      </c>
      <c r="J36" s="130"/>
      <c r="K36" s="162"/>
      <c r="N36" s="141">
        <f t="shared" si="5"/>
        <v>-3600</v>
      </c>
      <c r="O36" s="81"/>
      <c r="P36" s="130"/>
      <c r="R36" s="130"/>
      <c r="S36" s="162"/>
      <c r="T36" s="1"/>
      <c r="V36" s="141">
        <f t="shared" si="6"/>
        <v>0</v>
      </c>
      <c r="W36" s="81"/>
      <c r="X36" s="130"/>
    </row>
    <row r="37" spans="1:24" x14ac:dyDescent="0.25">
      <c r="A37" s="43"/>
      <c r="C37" t="str">
        <f>' BUDGET 2018-2010'!L37</f>
        <v>Fournitures pour atelier Autonomie</v>
      </c>
      <c r="E37" s="13" t="str">
        <f>' BUDGET 2018-2010'!N37</f>
        <v>#9</v>
      </c>
      <c r="F37" s="3">
        <f>' BUDGET 2018-2010'!O37</f>
        <v>0.5</v>
      </c>
      <c r="G37" s="3" t="str">
        <f>' BUDGET 2018-2010'!P37</f>
        <v>kit</v>
      </c>
      <c r="H37" s="7">
        <f>' BUDGET 2018-2010'!Q37</f>
        <v>1000</v>
      </c>
      <c r="I37" s="220" t="str">
        <f>' BUDGET 2018-2010'!R37</f>
        <v>M10</v>
      </c>
      <c r="J37" s="130"/>
      <c r="K37" s="161"/>
      <c r="N37" s="141">
        <f t="shared" si="5"/>
        <v>-1000</v>
      </c>
      <c r="O37" s="81"/>
      <c r="P37" s="130"/>
      <c r="R37" s="130"/>
      <c r="S37" s="161"/>
      <c r="T37" s="1"/>
      <c r="V37" s="141">
        <f t="shared" si="6"/>
        <v>0</v>
      </c>
      <c r="W37" s="81"/>
      <c r="X37" s="130"/>
    </row>
    <row r="38" spans="1:24" x14ac:dyDescent="0.25">
      <c r="A38" s="43"/>
      <c r="C38" t="str">
        <f>' BUDGET 2018-2010'!L38</f>
        <v>Matériel scolaire et frais d'examens</v>
      </c>
      <c r="D38" s="1"/>
      <c r="E38" s="13" t="str">
        <f>' BUDGET 2018-2010'!N38</f>
        <v>#8</v>
      </c>
      <c r="F38" s="3">
        <f>' BUDGET 2018-2010'!O38</f>
        <v>20</v>
      </c>
      <c r="G38" s="3" t="str">
        <f>' BUDGET 2018-2010'!P38</f>
        <v>jeune</v>
      </c>
      <c r="H38" s="7">
        <f>' BUDGET 2018-2010'!Q38</f>
        <v>5000</v>
      </c>
      <c r="I38" s="220">
        <f>' BUDGET 2018-2010'!R38</f>
        <v>0</v>
      </c>
      <c r="J38" s="130"/>
      <c r="K38" s="161"/>
      <c r="N38" s="141">
        <f t="shared" si="5"/>
        <v>-5000</v>
      </c>
      <c r="O38" s="81"/>
      <c r="P38" s="130"/>
      <c r="R38" s="130"/>
      <c r="S38" s="161"/>
      <c r="T38" s="1"/>
      <c r="V38" s="141">
        <f t="shared" si="6"/>
        <v>0</v>
      </c>
      <c r="W38" s="81"/>
      <c r="X38" s="130"/>
    </row>
    <row r="39" spans="1:24" x14ac:dyDescent="0.25">
      <c r="A39" s="43"/>
      <c r="C39" t="str">
        <f>' BUDGET 2018-2010'!L39</f>
        <v xml:space="preserve">Papeterie / cartouches d'encre </v>
      </c>
      <c r="E39" s="13"/>
      <c r="F39" s="3">
        <f>' BUDGET 2018-2010'!O39</f>
        <v>0</v>
      </c>
      <c r="G39" s="3" t="str">
        <f>' BUDGET 2018-2010'!P39</f>
        <v>kit</v>
      </c>
      <c r="H39" s="7">
        <f>' BUDGET 2018-2010'!Q39</f>
        <v>0</v>
      </c>
      <c r="I39" s="220" t="str">
        <f>' BUDGET 2018-2010'!R39</f>
        <v>M9</v>
      </c>
      <c r="J39" s="130"/>
      <c r="K39" s="162">
        <v>0</v>
      </c>
      <c r="N39" s="141">
        <f t="shared" si="5"/>
        <v>0</v>
      </c>
      <c r="O39" s="81"/>
      <c r="P39" s="130"/>
      <c r="R39" s="130"/>
      <c r="S39" s="162">
        <v>0</v>
      </c>
      <c r="T39" s="1"/>
      <c r="V39" s="141">
        <f t="shared" si="6"/>
        <v>0</v>
      </c>
      <c r="W39" s="81"/>
      <c r="X39" s="130"/>
    </row>
    <row r="40" spans="1:24" x14ac:dyDescent="0.25">
      <c r="A40" s="43"/>
      <c r="C40" t="str">
        <f>' BUDGET 2018-2010'!L40</f>
        <v>Matériel documentaire</v>
      </c>
      <c r="E40" s="13" t="str">
        <f>' BUDGET 2018-2010'!N40</f>
        <v>#14</v>
      </c>
      <c r="F40" s="3">
        <f>' BUDGET 2018-2010'!O40</f>
        <v>0</v>
      </c>
      <c r="G40" s="3">
        <f>' BUDGET 2018-2010'!P40</f>
        <v>0</v>
      </c>
      <c r="H40" s="7">
        <f>' BUDGET 2018-2010'!Q40</f>
        <v>100</v>
      </c>
      <c r="I40" s="39">
        <f>' BUDGET 2018-2010'!R40</f>
        <v>0</v>
      </c>
      <c r="J40" s="130"/>
      <c r="K40" s="161"/>
      <c r="N40" s="141">
        <f t="shared" si="5"/>
        <v>-100</v>
      </c>
      <c r="O40" s="81"/>
      <c r="P40" s="130"/>
      <c r="R40" s="130"/>
      <c r="S40" s="161"/>
      <c r="T40" s="1"/>
      <c r="V40" s="141">
        <f t="shared" si="6"/>
        <v>0</v>
      </c>
      <c r="W40" s="81"/>
      <c r="X40" s="130"/>
    </row>
    <row r="41" spans="1:24" x14ac:dyDescent="0.25">
      <c r="A41" s="43"/>
      <c r="C41" t="str">
        <f>' BUDGET 2018-2010'!L41</f>
        <v xml:space="preserve">Outils de communication </v>
      </c>
      <c r="E41" s="13" t="str">
        <f>' BUDGET 2018-2010'!N41</f>
        <v>#13</v>
      </c>
      <c r="F41" s="3">
        <f>' BUDGET 2018-2010'!O41</f>
        <v>0</v>
      </c>
      <c r="G41" s="3">
        <f>' BUDGET 2018-2010'!P41</f>
        <v>0</v>
      </c>
      <c r="H41" s="7">
        <f>' BUDGET 2018-2010'!Q41</f>
        <v>500</v>
      </c>
      <c r="I41" s="39">
        <f>' BUDGET 2018-2010'!R41</f>
        <v>0</v>
      </c>
      <c r="J41" s="130"/>
      <c r="K41" s="161"/>
      <c r="N41" s="141">
        <f t="shared" si="5"/>
        <v>-500</v>
      </c>
      <c r="O41" s="81"/>
      <c r="P41" s="130"/>
      <c r="R41" s="130"/>
      <c r="S41" s="161"/>
      <c r="T41" s="1"/>
      <c r="V41" s="141">
        <f t="shared" si="6"/>
        <v>0</v>
      </c>
      <c r="W41" s="81"/>
      <c r="X41" s="130"/>
    </row>
    <row r="42" spans="1:24" ht="15.75" thickBot="1" x14ac:dyDescent="0.3">
      <c r="A42" s="45"/>
      <c r="B42" s="18" t="s">
        <v>54</v>
      </c>
      <c r="C42" s="18"/>
      <c r="D42" s="18"/>
      <c r="E42" s="19"/>
      <c r="F42" s="20"/>
      <c r="G42" s="20"/>
      <c r="H42" s="21">
        <f>SUM(H34:H41)</f>
        <v>11700</v>
      </c>
      <c r="I42" s="66">
        <f>' BUDGET 2018-2010'!R42</f>
        <v>0.22472157322149708</v>
      </c>
      <c r="J42" s="130"/>
      <c r="K42" s="168"/>
      <c r="L42" s="140">
        <f>SUM(L34:L41)</f>
        <v>0</v>
      </c>
      <c r="M42" s="66" t="e">
        <f>L42/L51</f>
        <v>#DIV/0!</v>
      </c>
      <c r="N42" s="142">
        <f>L42-H42</f>
        <v>-11700</v>
      </c>
      <c r="O42" s="137" t="e">
        <f>M42-I42</f>
        <v>#DIV/0!</v>
      </c>
      <c r="P42" s="130"/>
      <c r="R42" s="130"/>
      <c r="S42" s="168"/>
      <c r="T42" s="140">
        <f>SUM(T34:T41)</f>
        <v>0</v>
      </c>
      <c r="U42" s="66" t="e">
        <f>T42/T51</f>
        <v>#DIV/0!</v>
      </c>
      <c r="V42" s="142">
        <f>(T42+L42)-H42</f>
        <v>-11700</v>
      </c>
      <c r="W42" s="137" t="e">
        <f>U42-Q42</f>
        <v>#DIV/0!</v>
      </c>
      <c r="X42" s="130"/>
    </row>
    <row r="43" spans="1:24" ht="4.5" customHeight="1" thickTop="1" x14ac:dyDescent="0.25">
      <c r="A43" s="43"/>
      <c r="E43" s="13"/>
      <c r="G43" s="3"/>
      <c r="H43" s="1"/>
      <c r="I43" s="1"/>
      <c r="J43" s="130"/>
      <c r="K43" s="161"/>
      <c r="N43" s="132"/>
      <c r="O43" s="81"/>
      <c r="P43" s="130"/>
      <c r="R43" s="130"/>
      <c r="S43" s="161"/>
      <c r="T43" s="1"/>
      <c r="V43" s="132"/>
      <c r="W43" s="81"/>
      <c r="X43" s="130"/>
    </row>
    <row r="44" spans="1:24" ht="15" customHeight="1" x14ac:dyDescent="0.25">
      <c r="A44" s="43"/>
      <c r="B44" s="30" t="s">
        <v>57</v>
      </c>
      <c r="C44" s="30"/>
      <c r="D44" s="30"/>
      <c r="E44" s="31"/>
      <c r="F44" s="32"/>
      <c r="G44" s="32"/>
      <c r="H44" s="33"/>
      <c r="I44" s="33"/>
      <c r="J44" s="130"/>
      <c r="K44" s="115"/>
      <c r="L44" s="115"/>
      <c r="M44" s="129"/>
      <c r="N44" s="133"/>
      <c r="O44" s="134"/>
      <c r="P44" s="130"/>
      <c r="R44" s="130"/>
      <c r="S44" s="115"/>
      <c r="T44" s="115"/>
      <c r="U44" s="129"/>
      <c r="V44" s="133"/>
      <c r="W44" s="134"/>
      <c r="X44" s="130"/>
    </row>
    <row r="45" spans="1:24" x14ac:dyDescent="0.25">
      <c r="A45" s="46"/>
      <c r="C45" t="str">
        <f>' BUDGET 2018-2010'!L45</f>
        <v>Kilométrage</v>
      </c>
      <c r="E45" s="13" t="str">
        <f>' BUDGET 2018-2010'!N45</f>
        <v>#6</v>
      </c>
      <c r="F45" s="3">
        <f>' BUDGET 2018-2010'!O45</f>
        <v>1500</v>
      </c>
      <c r="G45" s="3" t="str">
        <f>' BUDGET 2018-2010'!P45</f>
        <v>kilomètre</v>
      </c>
      <c r="H45">
        <f>' BUDGET 2018-2010'!Q45</f>
        <v>750</v>
      </c>
      <c r="I45">
        <f>' BUDGET 2018-2010'!R45</f>
        <v>0</v>
      </c>
      <c r="J45" s="130"/>
      <c r="K45" s="39"/>
      <c r="L45" s="1">
        <f>K45*DONNÉES!D34</f>
        <v>0</v>
      </c>
      <c r="N45" s="141">
        <f t="shared" ref="N45:N46" si="7">L45-H45</f>
        <v>-750</v>
      </c>
      <c r="O45" s="81"/>
      <c r="P45" s="130"/>
      <c r="R45" s="130"/>
      <c r="S45" s="39"/>
      <c r="T45" s="1">
        <f>S45*DONNÉES!D34</f>
        <v>0</v>
      </c>
      <c r="V45" s="141">
        <f t="shared" ref="V45:V46" si="8">T45-P45</f>
        <v>0</v>
      </c>
      <c r="W45" s="81"/>
      <c r="X45" s="130"/>
    </row>
    <row r="46" spans="1:24" x14ac:dyDescent="0.25">
      <c r="A46" s="43"/>
      <c r="C46" t="str">
        <f>' BUDGET 2018-2010'!L46</f>
        <v>Stationnement</v>
      </c>
      <c r="E46" s="13" t="str">
        <f>' BUDGET 2018-2010'!N46</f>
        <v>#6</v>
      </c>
      <c r="F46" s="3">
        <f>' BUDGET 2018-2010'!O46</f>
        <v>60</v>
      </c>
      <c r="G46" s="3" t="str">
        <f>' BUDGET 2018-2010'!P46</f>
        <v>Stat CDP</v>
      </c>
      <c r="H46">
        <f>' BUDGET 2018-2010'!Q46</f>
        <v>240</v>
      </c>
      <c r="I46">
        <f>' BUDGET 2018-2010'!R46</f>
        <v>0</v>
      </c>
      <c r="J46" s="130"/>
      <c r="K46" s="39"/>
      <c r="L46" s="1">
        <f>K46*DONNÉES!D35</f>
        <v>0</v>
      </c>
      <c r="N46" s="141">
        <f t="shared" si="7"/>
        <v>-240</v>
      </c>
      <c r="O46" s="81"/>
      <c r="P46" s="130"/>
      <c r="R46" s="130"/>
      <c r="S46" s="39"/>
      <c r="T46" s="1">
        <f>S46*DONNÉES!D35</f>
        <v>0</v>
      </c>
      <c r="V46" s="141">
        <f t="shared" si="8"/>
        <v>0</v>
      </c>
      <c r="W46" s="81"/>
      <c r="X46" s="130"/>
    </row>
    <row r="47" spans="1:24" ht="15.75" thickBot="1" x14ac:dyDescent="0.3">
      <c r="A47" s="45"/>
      <c r="B47" s="18" t="s">
        <v>54</v>
      </c>
      <c r="C47" s="18"/>
      <c r="D47" s="18"/>
      <c r="E47" s="19"/>
      <c r="F47" s="20"/>
      <c r="G47" s="20"/>
      <c r="H47" s="21">
        <f>' BUDGET 2018-2010'!Q47</f>
        <v>990</v>
      </c>
      <c r="I47" s="62">
        <f>' BUDGET 2018-2010'!R47</f>
        <v>1.9014902349511292E-2</v>
      </c>
      <c r="J47" s="130"/>
      <c r="K47" s="140"/>
      <c r="L47" s="140">
        <f>SUM(L45:L46)</f>
        <v>0</v>
      </c>
      <c r="M47" s="66" t="e">
        <f>L47/L51</f>
        <v>#DIV/0!</v>
      </c>
      <c r="N47" s="142">
        <f>L47-H47</f>
        <v>-990</v>
      </c>
      <c r="O47" s="137" t="e">
        <f>M47-I47</f>
        <v>#DIV/0!</v>
      </c>
      <c r="P47" s="130"/>
      <c r="R47" s="130"/>
      <c r="S47" s="140"/>
      <c r="T47" s="140">
        <f>SUM(T45:T46)</f>
        <v>0</v>
      </c>
      <c r="U47" s="66" t="e">
        <f>T47/T51</f>
        <v>#DIV/0!</v>
      </c>
      <c r="V47" s="142">
        <f>(T47+L47)-H47</f>
        <v>-990</v>
      </c>
      <c r="W47" s="137" t="e">
        <f>U47-Q47</f>
        <v>#DIV/0!</v>
      </c>
      <c r="X47" s="130"/>
    </row>
    <row r="48" spans="1:24" ht="5.25" customHeight="1" thickTop="1" x14ac:dyDescent="0.25">
      <c r="A48" s="45"/>
      <c r="B48" s="89"/>
      <c r="C48" s="89"/>
      <c r="D48" s="89"/>
      <c r="E48" s="90"/>
      <c r="F48" s="91"/>
      <c r="G48" s="91"/>
      <c r="H48" s="92"/>
      <c r="I48" s="94"/>
      <c r="J48" s="130"/>
      <c r="K48" s="1"/>
      <c r="N48" s="132"/>
      <c r="O48" s="81"/>
      <c r="P48" s="130"/>
      <c r="R48" s="130"/>
      <c r="S48" s="1"/>
      <c r="T48" s="1"/>
      <c r="V48" s="132"/>
      <c r="W48" s="81"/>
      <c r="X48" s="130"/>
    </row>
    <row r="49" spans="1:24" x14ac:dyDescent="0.25">
      <c r="A49" s="45"/>
      <c r="B49" s="96" t="s">
        <v>105</v>
      </c>
      <c r="C49" s="96"/>
      <c r="D49" s="96"/>
      <c r="E49" s="97" t="s">
        <v>107</v>
      </c>
      <c r="F49" s="98"/>
      <c r="G49" s="98"/>
      <c r="H49" s="99">
        <f>' BUDGET 2018-2010'!Q49</f>
        <v>2064.4272477920094</v>
      </c>
      <c r="I49" s="101"/>
      <c r="J49" s="130"/>
      <c r="K49" s="98"/>
      <c r="L49" s="98"/>
      <c r="M49" s="98"/>
      <c r="N49" s="98"/>
      <c r="O49" s="98"/>
      <c r="P49" s="130"/>
      <c r="R49" s="130"/>
      <c r="S49" s="98"/>
      <c r="T49" s="98"/>
      <c r="U49" s="98"/>
      <c r="V49" s="98"/>
      <c r="W49" s="98"/>
      <c r="X49" s="130"/>
    </row>
    <row r="50" spans="1:24" ht="4.5" customHeight="1" x14ac:dyDescent="0.25">
      <c r="A50" s="43"/>
      <c r="E50" s="13"/>
      <c r="G50" s="3"/>
      <c r="H50" s="1"/>
      <c r="I50" s="1"/>
      <c r="J50" s="130"/>
      <c r="K50" s="1"/>
      <c r="N50" s="132"/>
      <c r="O50" s="81"/>
      <c r="P50" s="130"/>
      <c r="R50" s="130"/>
      <c r="S50" s="1"/>
      <c r="T50" s="1"/>
      <c r="V50" s="132"/>
      <c r="W50" s="81"/>
      <c r="X50" s="130"/>
    </row>
    <row r="51" spans="1:24" ht="19.5" thickBot="1" x14ac:dyDescent="0.35">
      <c r="A51" s="43"/>
      <c r="B51" s="202" t="s">
        <v>91</v>
      </c>
      <c r="C51" s="202"/>
      <c r="D51" s="202"/>
      <c r="E51" s="202"/>
      <c r="F51" s="202"/>
      <c r="G51" s="202"/>
      <c r="H51" s="157">
        <f>' BUDGET 2018-2010'!Q51</f>
        <v>52064.427247792009</v>
      </c>
      <c r="I51" s="222">
        <f>' BUDGET 2018-2010'!R51</f>
        <v>1.0412885449558402</v>
      </c>
      <c r="J51" s="130"/>
      <c r="K51" s="226"/>
      <c r="L51" s="157">
        <f>L47+L42+L31+L23</f>
        <v>0</v>
      </c>
      <c r="M51" s="227">
        <f>L51/50000</f>
        <v>0</v>
      </c>
      <c r="N51" s="157">
        <f>N47+N42+N31+N23</f>
        <v>-52064.427247792009</v>
      </c>
      <c r="O51" s="221">
        <f>M51-I51</f>
        <v>-1.0412885449558402</v>
      </c>
      <c r="P51" s="130"/>
      <c r="R51" s="130"/>
      <c r="S51" s="157"/>
      <c r="T51" s="157">
        <f>T47+T42+T31+T23</f>
        <v>0</v>
      </c>
      <c r="U51" s="227">
        <f>T51/50000</f>
        <v>0</v>
      </c>
      <c r="V51" s="157">
        <f>V47+V42+V31+V23</f>
        <v>-52064.427247792009</v>
      </c>
      <c r="W51" s="221">
        <f>U51-Q51</f>
        <v>0</v>
      </c>
      <c r="X51" s="130"/>
    </row>
    <row r="52" spans="1:24" ht="16.5" customHeight="1" x14ac:dyDescent="0.25">
      <c r="A52" s="212" t="s">
        <v>159</v>
      </c>
      <c r="B52" s="212"/>
      <c r="C52" s="212"/>
      <c r="D52" s="212"/>
      <c r="E52" s="212"/>
      <c r="F52" s="212"/>
      <c r="G52" s="212"/>
      <c r="H52" s="212"/>
      <c r="I52" s="212"/>
      <c r="J52" s="130"/>
      <c r="K52" s="213">
        <f>L51</f>
        <v>0</v>
      </c>
      <c r="L52" s="213"/>
      <c r="M52" s="215" t="e">
        <f>K52/L51</f>
        <v>#DIV/0!</v>
      </c>
      <c r="N52" s="174" t="s">
        <v>178</v>
      </c>
      <c r="O52" s="172"/>
      <c r="P52" s="130"/>
      <c r="R52" s="130"/>
      <c r="S52" s="213">
        <f>T51</f>
        <v>0</v>
      </c>
      <c r="T52" s="213"/>
      <c r="U52" s="215" t="e">
        <f>S52/T51</f>
        <v>#DIV/0!</v>
      </c>
      <c r="V52" s="174" t="s">
        <v>178</v>
      </c>
      <c r="W52" s="172"/>
      <c r="X52" s="130"/>
    </row>
    <row r="53" spans="1:24" ht="15" customHeight="1" x14ac:dyDescent="0.25">
      <c r="A53" s="212"/>
      <c r="B53" s="212"/>
      <c r="C53" s="212"/>
      <c r="D53" s="212"/>
      <c r="E53" s="212"/>
      <c r="F53" s="212"/>
      <c r="G53" s="212"/>
      <c r="H53" s="212"/>
      <c r="I53" s="212"/>
      <c r="J53" s="130"/>
      <c r="K53" s="214"/>
      <c r="L53" s="214"/>
      <c r="M53" s="216"/>
      <c r="N53" s="175" t="s">
        <v>182</v>
      </c>
      <c r="O53" s="173"/>
      <c r="P53" s="130"/>
      <c r="R53" s="130"/>
      <c r="S53" s="214"/>
      <c r="T53" s="214"/>
      <c r="U53" s="216"/>
      <c r="V53" s="175" t="s">
        <v>182</v>
      </c>
      <c r="W53" s="173"/>
      <c r="X53" s="130"/>
    </row>
    <row r="54" spans="1:24" ht="8.25" customHeight="1" x14ac:dyDescent="0.25">
      <c r="J54" s="130"/>
      <c r="K54" s="130"/>
      <c r="L54" s="148"/>
      <c r="M54" s="130"/>
      <c r="N54" s="130"/>
      <c r="O54" s="130"/>
      <c r="P54" s="130"/>
      <c r="R54" s="130"/>
      <c r="S54" s="130"/>
      <c r="T54" s="148"/>
      <c r="U54" s="130"/>
      <c r="V54" s="130"/>
      <c r="W54" s="130"/>
      <c r="X54" s="130"/>
    </row>
    <row r="55" spans="1:24" x14ac:dyDescent="0.25">
      <c r="A55" s="116" t="s">
        <v>115</v>
      </c>
      <c r="B55" s="117"/>
      <c r="C55" s="117"/>
      <c r="D55" s="117"/>
      <c r="E55" s="117"/>
      <c r="F55" s="219"/>
      <c r="G55" s="117"/>
      <c r="H55" s="117"/>
      <c r="I55" s="118" t="s">
        <v>116</v>
      </c>
    </row>
    <row r="56" spans="1:24" x14ac:dyDescent="0.25">
      <c r="A56" s="128" t="s">
        <v>118</v>
      </c>
      <c r="B56" s="121"/>
      <c r="C56" s="1"/>
      <c r="D56" s="1" t="s">
        <v>148</v>
      </c>
      <c r="E56" s="1"/>
      <c r="F56" s="7"/>
      <c r="G56" s="1"/>
      <c r="H56" s="195">
        <v>43425</v>
      </c>
      <c r="I56" s="195"/>
    </row>
    <row r="57" spans="1:24" x14ac:dyDescent="0.25">
      <c r="A57" s="128" t="s">
        <v>120</v>
      </c>
      <c r="B57" s="1"/>
      <c r="C57" s="1"/>
      <c r="D57" s="1" t="s">
        <v>121</v>
      </c>
      <c r="E57" s="1"/>
      <c r="F57" s="7"/>
      <c r="G57" s="1"/>
      <c r="H57" s="195">
        <v>43405</v>
      </c>
      <c r="I57" s="195"/>
    </row>
    <row r="58" spans="1:24" x14ac:dyDescent="0.25">
      <c r="A58" s="128" t="s">
        <v>125</v>
      </c>
      <c r="B58" s="1"/>
      <c r="C58" s="1"/>
      <c r="D58" s="1" t="s">
        <v>148</v>
      </c>
      <c r="E58" s="1"/>
      <c r="F58" s="7"/>
      <c r="G58" s="1"/>
      <c r="H58" s="195">
        <v>43425</v>
      </c>
      <c r="I58" s="195"/>
    </row>
    <row r="59" spans="1:24" x14ac:dyDescent="0.25">
      <c r="A59" s="128" t="s">
        <v>130</v>
      </c>
      <c r="B59" s="1"/>
      <c r="C59" s="1"/>
      <c r="D59" s="1" t="s">
        <v>131</v>
      </c>
      <c r="E59" s="1"/>
      <c r="F59" s="7"/>
      <c r="G59" s="1"/>
      <c r="H59" s="195">
        <v>43405</v>
      </c>
      <c r="I59" s="195"/>
    </row>
    <row r="60" spans="1:24" x14ac:dyDescent="0.25">
      <c r="A60" s="128" t="s">
        <v>132</v>
      </c>
      <c r="B60" s="1"/>
      <c r="C60" s="1"/>
      <c r="D60" s="1" t="s">
        <v>133</v>
      </c>
      <c r="E60" s="1"/>
      <c r="F60" s="7"/>
      <c r="G60" s="1"/>
      <c r="H60" s="195">
        <v>43405</v>
      </c>
      <c r="I60" s="195"/>
    </row>
    <row r="61" spans="1:24" x14ac:dyDescent="0.25">
      <c r="A61" s="128" t="s">
        <v>154</v>
      </c>
      <c r="B61" s="1"/>
      <c r="C61" s="1"/>
      <c r="D61" s="1" t="s">
        <v>155</v>
      </c>
      <c r="E61" s="1"/>
      <c r="F61" s="7"/>
      <c r="G61" s="1"/>
      <c r="H61" s="195">
        <v>43425</v>
      </c>
      <c r="I61" s="195"/>
    </row>
    <row r="64" spans="1:24" x14ac:dyDescent="0.25">
      <c r="D64" t="str">
        <f>IF(' BUDGET 2018-2010'!D62="","",' BUDGET 2018-2010'!D62)</f>
        <v/>
      </c>
      <c r="H64" s="195" t="str">
        <f>IF(' BUDGET 2018-2010'!H62:I62="","",' BUDGET 2018-2010'!H62:I62)</f>
        <v/>
      </c>
      <c r="I64" s="195"/>
    </row>
    <row r="65" spans="4:9" x14ac:dyDescent="0.25">
      <c r="D65" t="str">
        <f>IF(' BUDGET 2018-2010'!D63="","",' BUDGET 2018-2010'!D63)</f>
        <v/>
      </c>
      <c r="H65" s="195" t="str">
        <f>IF(' BUDGET 2018-2010'!H63:I63="","",' BUDGET 2018-2010'!H63:I63)</f>
        <v/>
      </c>
      <c r="I65" s="195"/>
    </row>
    <row r="66" spans="4:9" x14ac:dyDescent="0.25">
      <c r="D66" t="str">
        <f>IF(' BUDGET 2018-2010'!D64="","",' BUDGET 2018-2010'!D64)</f>
        <v/>
      </c>
      <c r="H66" s="195" t="str">
        <f>IF(' BUDGET 2018-2010'!H64:I64="","",' BUDGET 2018-2010'!H64:I64)</f>
        <v/>
      </c>
      <c r="I66" s="195"/>
    </row>
    <row r="67" spans="4:9" x14ac:dyDescent="0.25">
      <c r="D67" t="str">
        <f>IF(' BUDGET 2018-2010'!D65="","",' BUDGET 2018-2010'!D65)</f>
        <v/>
      </c>
    </row>
    <row r="68" spans="4:9" x14ac:dyDescent="0.25">
      <c r="D68" t="str">
        <f>IF(' BUDGET 2018-2010'!D66="","",' BUDGET 2018-2010'!D66)</f>
        <v/>
      </c>
    </row>
  </sheetData>
  <mergeCells count="22">
    <mergeCell ref="H56:I56"/>
    <mergeCell ref="H57:I57"/>
    <mergeCell ref="H58:I58"/>
    <mergeCell ref="S4:U4"/>
    <mergeCell ref="V4:W4"/>
    <mergeCell ref="S52:T53"/>
    <mergeCell ref="U52:U53"/>
    <mergeCell ref="H65:I65"/>
    <mergeCell ref="H66:I66"/>
    <mergeCell ref="H59:I59"/>
    <mergeCell ref="H60:I60"/>
    <mergeCell ref="H61:I61"/>
    <mergeCell ref="H64:I64"/>
    <mergeCell ref="A52:I53"/>
    <mergeCell ref="K52:L53"/>
    <mergeCell ref="M52:M53"/>
    <mergeCell ref="B4:I4"/>
    <mergeCell ref="K4:M4"/>
    <mergeCell ref="N4:O4"/>
    <mergeCell ref="B5:D5"/>
    <mergeCell ref="B51:G51"/>
    <mergeCell ref="D1:X2"/>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DOCUMENTS</vt:lpstr>
      <vt:lpstr>DONNÉES</vt:lpstr>
      <vt:lpstr>NOTES</vt:lpstr>
      <vt:lpstr> BUDGET 2018-2010</vt:lpstr>
      <vt:lpstr>SUIVI AN 1</vt:lpstr>
      <vt:lpstr>SUIVI AN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Clément</dc:creator>
  <cp:lastModifiedBy>Clément</cp:lastModifiedBy>
  <cp:lastPrinted>2018-11-01T15:45:02Z</cp:lastPrinted>
  <dcterms:created xsi:type="dcterms:W3CDTF">2018-10-01T16:35:56Z</dcterms:created>
  <dcterms:modified xsi:type="dcterms:W3CDTF">2019-02-17T18:50:02Z</dcterms:modified>
</cp:coreProperties>
</file>