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ément\Desktop\PROJET NOVATEUR\APPEL D'OFFRES 2017\CISSS BAS-SAINT-LAURENT\SUIVI BUDGÉTAIRE\"/>
    </mc:Choice>
  </mc:AlternateContent>
  <bookViews>
    <workbookView xWindow="0" yWindow="0" windowWidth="15015" windowHeight="8175" tabRatio="787" firstSheet="1" activeTab="4"/>
  </bookViews>
  <sheets>
    <sheet name="DOCUMENTS" sheetId="4" r:id="rId1"/>
    <sheet name="HYPOTHÈSE $" sheetId="2" r:id="rId2"/>
    <sheet name="ACTIVITÉS" sheetId="6" r:id="rId3"/>
    <sheet name="NOTES" sheetId="3" r:id="rId4"/>
    <sheet name=" BUDGET 2019-2021 AN 1" sheetId="1" r:id="rId5"/>
    <sheet name="BUDGET 2019-2021 AN 2" sheetId="7" r:id="rId6"/>
    <sheet name="BUDGET 2019-2021 AN 3" sheetId="8" r:id="rId7"/>
    <sheet name="BUDGET 2019-2021 GLOBAL" sheetId="9" r:id="rId8"/>
    <sheet name="SUIVI AN 1" sheetId="5" state="hidden"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2" l="1"/>
  <c r="E47" i="2"/>
  <c r="E52" i="2"/>
  <c r="E50" i="2"/>
  <c r="E51" i="2"/>
  <c r="E46" i="2"/>
  <c r="E45" i="2"/>
  <c r="L51" i="8"/>
  <c r="L51" i="7"/>
  <c r="M47" i="8"/>
  <c r="M36" i="8"/>
  <c r="G7" i="9"/>
  <c r="G7" i="8"/>
  <c r="G7" i="7"/>
  <c r="L19" i="1"/>
  <c r="L51" i="1"/>
  <c r="I61" i="2"/>
  <c r="I66" i="2" s="1"/>
  <c r="H53" i="7" s="1"/>
  <c r="H61" i="2"/>
  <c r="K61" i="2" s="1"/>
  <c r="K66" i="2" s="1"/>
  <c r="G61" i="2"/>
  <c r="J61" i="2" s="1"/>
  <c r="J66" i="2" s="1"/>
  <c r="L53" i="9"/>
  <c r="L52" i="9"/>
  <c r="D52" i="9"/>
  <c r="D53" i="9"/>
  <c r="D51" i="9"/>
  <c r="C50" i="9"/>
  <c r="P41" i="1"/>
  <c r="P42" i="1"/>
  <c r="P43" i="1"/>
  <c r="D52" i="8"/>
  <c r="D53" i="8"/>
  <c r="D51" i="8"/>
  <c r="C50" i="8"/>
  <c r="D52" i="7"/>
  <c r="D53" i="7"/>
  <c r="D51" i="7"/>
  <c r="C50" i="7"/>
  <c r="E66" i="2"/>
  <c r="H52" i="1" s="1"/>
  <c r="P52" i="1" s="1"/>
  <c r="F66" i="2"/>
  <c r="H53" i="1" s="1"/>
  <c r="P53" i="1" s="1"/>
  <c r="D61" i="2"/>
  <c r="D66" i="2" s="1"/>
  <c r="D67" i="2" s="1"/>
  <c r="E37" i="2"/>
  <c r="E38" i="2"/>
  <c r="E39" i="2"/>
  <c r="E40" i="2"/>
  <c r="E36" i="2"/>
  <c r="G66" i="2" l="1"/>
  <c r="H51" i="7" s="1"/>
  <c r="H66" i="2"/>
  <c r="H52" i="7" s="1"/>
  <c r="P52" i="7" s="1"/>
  <c r="H51" i="8"/>
  <c r="P51" i="8" s="1"/>
  <c r="L61" i="2"/>
  <c r="L66" i="2" s="1"/>
  <c r="H53" i="8" s="1"/>
  <c r="P53" i="8" s="1"/>
  <c r="L51" i="9"/>
  <c r="H51" i="1"/>
  <c r="P51" i="1" s="1"/>
  <c r="H52" i="8"/>
  <c r="P52" i="8" s="1"/>
  <c r="J67" i="2"/>
  <c r="P53" i="7"/>
  <c r="P51" i="7"/>
  <c r="P53" i="9" l="1"/>
  <c r="G67" i="2"/>
  <c r="H53" i="9"/>
  <c r="H51" i="9"/>
  <c r="P51" i="9"/>
  <c r="P52" i="9"/>
  <c r="H52" i="9"/>
  <c r="A13" i="3" l="1"/>
  <c r="A14" i="3" s="1"/>
  <c r="N49" i="6"/>
  <c r="N33" i="6"/>
  <c r="F15" i="7"/>
  <c r="J15" i="7"/>
  <c r="J19" i="1"/>
  <c r="J16" i="1"/>
  <c r="F23" i="1"/>
  <c r="J15" i="1"/>
  <c r="F15" i="1"/>
  <c r="H40" i="1"/>
  <c r="P40" i="1" s="1"/>
  <c r="D40" i="1"/>
  <c r="H31" i="1"/>
  <c r="P31" i="1" s="1"/>
  <c r="D31" i="1"/>
  <c r="A10" i="3"/>
  <c r="A11" i="3" s="1"/>
  <c r="A12" i="3" s="1"/>
  <c r="A9" i="3"/>
  <c r="A8" i="3"/>
  <c r="A7" i="3"/>
  <c r="A6" i="3"/>
  <c r="A15" i="3" l="1"/>
  <c r="A16" i="3" s="1"/>
  <c r="A17" i="3" s="1"/>
  <c r="A18" i="3" s="1"/>
  <c r="A19" i="3" s="1"/>
  <c r="A20" i="3" s="1"/>
  <c r="A21" i="3" s="1"/>
  <c r="A22" i="3" s="1"/>
  <c r="A23" i="3" s="1"/>
  <c r="A24" i="3" s="1"/>
  <c r="A25" i="3" s="1"/>
  <c r="A26" i="3" s="1"/>
  <c r="A27" i="3" s="1"/>
  <c r="N35" i="9"/>
  <c r="N34" i="9"/>
  <c r="N33" i="9"/>
  <c r="N32" i="9"/>
  <c r="N31" i="9"/>
  <c r="J35" i="9"/>
  <c r="J34" i="9"/>
  <c r="J33" i="9"/>
  <c r="J32" i="9"/>
  <c r="J31" i="9"/>
  <c r="N46" i="9"/>
  <c r="N45" i="9"/>
  <c r="N44" i="9"/>
  <c r="N43" i="9"/>
  <c r="N42" i="9"/>
  <c r="N41" i="9"/>
  <c r="N40" i="9"/>
  <c r="J46" i="9"/>
  <c r="J45" i="9"/>
  <c r="J44" i="9"/>
  <c r="J43" i="9"/>
  <c r="J42" i="9"/>
  <c r="J41" i="9"/>
  <c r="J40" i="9"/>
  <c r="L46" i="9"/>
  <c r="L45" i="9"/>
  <c r="L44" i="9"/>
  <c r="L43" i="9"/>
  <c r="L42" i="9"/>
  <c r="L41" i="9"/>
  <c r="L40" i="9"/>
  <c r="H46" i="9"/>
  <c r="H45" i="9"/>
  <c r="H44" i="9"/>
  <c r="H43" i="9"/>
  <c r="H42" i="9"/>
  <c r="F46" i="9"/>
  <c r="F45" i="9"/>
  <c r="F44" i="9"/>
  <c r="F43" i="9"/>
  <c r="F42" i="9"/>
  <c r="F41" i="9"/>
  <c r="F40" i="9"/>
  <c r="L35" i="9"/>
  <c r="L34" i="9"/>
  <c r="L33" i="9"/>
  <c r="L32" i="9"/>
  <c r="L31" i="9"/>
  <c r="F35" i="9"/>
  <c r="F34" i="9"/>
  <c r="F33" i="9"/>
  <c r="F32" i="9"/>
  <c r="F31" i="9"/>
  <c r="L25" i="9"/>
  <c r="L20" i="9"/>
  <c r="L17" i="9"/>
  <c r="L14" i="9"/>
  <c r="L13" i="9"/>
  <c r="L12" i="9"/>
  <c r="L11" i="9"/>
  <c r="L9" i="9"/>
  <c r="L8" i="9"/>
  <c r="J25" i="9"/>
  <c r="J20" i="9"/>
  <c r="J17" i="9"/>
  <c r="J15" i="9"/>
  <c r="J14" i="9"/>
  <c r="J13" i="9"/>
  <c r="J12" i="9"/>
  <c r="J11" i="9"/>
  <c r="J9" i="9"/>
  <c r="J8" i="9"/>
  <c r="H18" i="9"/>
  <c r="H10" i="9"/>
  <c r="F9" i="9"/>
  <c r="F8" i="9"/>
  <c r="P55" i="9"/>
  <c r="L55" i="9"/>
  <c r="H55" i="9"/>
  <c r="D41" i="9"/>
  <c r="D40" i="9"/>
  <c r="P39" i="9"/>
  <c r="D31" i="9"/>
  <c r="K25" i="9"/>
  <c r="O25" i="9" s="1"/>
  <c r="K24" i="9"/>
  <c r="O24" i="9" s="1"/>
  <c r="K23" i="9"/>
  <c r="O23" i="9" s="1"/>
  <c r="K22" i="9"/>
  <c r="O22" i="9" s="1"/>
  <c r="K21" i="9"/>
  <c r="O21" i="9" s="1"/>
  <c r="K20" i="9"/>
  <c r="O20" i="9" s="1"/>
  <c r="K19" i="9"/>
  <c r="O19" i="9" s="1"/>
  <c r="K17" i="9"/>
  <c r="O17" i="9" s="1"/>
  <c r="K16" i="9"/>
  <c r="O16" i="9" s="1"/>
  <c r="K15" i="9"/>
  <c r="O15" i="9" s="1"/>
  <c r="K14" i="9"/>
  <c r="O14" i="9" s="1"/>
  <c r="K13" i="9"/>
  <c r="O13" i="9" s="1"/>
  <c r="O12" i="9"/>
  <c r="K12" i="9"/>
  <c r="K11" i="9"/>
  <c r="O11" i="9" s="1"/>
  <c r="O9" i="9"/>
  <c r="K9" i="9"/>
  <c r="K8" i="9"/>
  <c r="O8" i="9" s="1"/>
  <c r="K7" i="9"/>
  <c r="O7" i="9" s="1"/>
  <c r="A1" i="9"/>
  <c r="J22" i="8"/>
  <c r="F22" i="8" s="1"/>
  <c r="J21" i="8"/>
  <c r="J19" i="8"/>
  <c r="J15" i="8"/>
  <c r="F15" i="8"/>
  <c r="H25" i="8"/>
  <c r="P25" i="8" s="1"/>
  <c r="F23" i="8"/>
  <c r="F20" i="8"/>
  <c r="H17" i="8"/>
  <c r="F17" i="8"/>
  <c r="N17" i="8" s="1"/>
  <c r="H16" i="2"/>
  <c r="F14" i="8"/>
  <c r="F12" i="8"/>
  <c r="P55" i="8"/>
  <c r="L55" i="8"/>
  <c r="P46" i="8"/>
  <c r="P45" i="8"/>
  <c r="P44" i="8"/>
  <c r="P43" i="8"/>
  <c r="P42" i="8"/>
  <c r="H47" i="8"/>
  <c r="D41" i="8"/>
  <c r="P40" i="8"/>
  <c r="D40" i="8"/>
  <c r="P39" i="8"/>
  <c r="P31" i="8"/>
  <c r="P36" i="8" s="1"/>
  <c r="D31" i="8"/>
  <c r="N25" i="8"/>
  <c r="K25" i="8"/>
  <c r="O25" i="8" s="1"/>
  <c r="K24" i="8"/>
  <c r="O24" i="8" s="1"/>
  <c r="K23" i="8"/>
  <c r="O23" i="8" s="1"/>
  <c r="N23" i="8"/>
  <c r="K22" i="8"/>
  <c r="O22" i="8" s="1"/>
  <c r="K21" i="8"/>
  <c r="O21" i="8" s="1"/>
  <c r="K20" i="8"/>
  <c r="O20" i="8" s="1"/>
  <c r="N20" i="8"/>
  <c r="O19" i="8"/>
  <c r="K19" i="8"/>
  <c r="K17" i="8"/>
  <c r="O17" i="8" s="1"/>
  <c r="O16" i="8"/>
  <c r="K16" i="8"/>
  <c r="K15" i="8"/>
  <c r="O15" i="8" s="1"/>
  <c r="O14" i="8"/>
  <c r="K14" i="8"/>
  <c r="K13" i="8"/>
  <c r="O13" i="8" s="1"/>
  <c r="N12" i="8"/>
  <c r="K12" i="8"/>
  <c r="O12" i="8" s="1"/>
  <c r="K11" i="8"/>
  <c r="O11" i="8" s="1"/>
  <c r="N9" i="8"/>
  <c r="K9" i="8"/>
  <c r="O9" i="8" s="1"/>
  <c r="O8" i="8"/>
  <c r="N8" i="8"/>
  <c r="K8" i="8"/>
  <c r="K7" i="8"/>
  <c r="O7" i="8" s="1"/>
  <c r="A1" i="8"/>
  <c r="J22" i="7"/>
  <c r="F22" i="7"/>
  <c r="J21" i="7"/>
  <c r="J19" i="7"/>
  <c r="L36" i="1"/>
  <c r="L55" i="1"/>
  <c r="P55" i="7"/>
  <c r="L55" i="7"/>
  <c r="P46" i="7"/>
  <c r="P45" i="7"/>
  <c r="P44" i="7"/>
  <c r="P43" i="7"/>
  <c r="P42" i="7"/>
  <c r="P39" i="7"/>
  <c r="P47" i="1"/>
  <c r="L47" i="1"/>
  <c r="N15" i="7"/>
  <c r="H41" i="7"/>
  <c r="D41" i="7"/>
  <c r="H31" i="7"/>
  <c r="H36" i="7" s="1"/>
  <c r="D31" i="7"/>
  <c r="D40" i="7"/>
  <c r="H40" i="7"/>
  <c r="P40" i="7" s="1"/>
  <c r="H17" i="7"/>
  <c r="P17" i="7" s="1"/>
  <c r="F25" i="7"/>
  <c r="N25" i="7" s="1"/>
  <c r="F17" i="7"/>
  <c r="N17" i="7" s="1"/>
  <c r="F23" i="7"/>
  <c r="F14" i="7"/>
  <c r="F20" i="7"/>
  <c r="F12" i="7"/>
  <c r="N12" i="7" s="1"/>
  <c r="H55" i="7"/>
  <c r="K25" i="7"/>
  <c r="O25" i="7" s="1"/>
  <c r="O24" i="7"/>
  <c r="K24" i="7"/>
  <c r="O23" i="7"/>
  <c r="K23" i="7"/>
  <c r="O22" i="7"/>
  <c r="K22" i="7"/>
  <c r="O21" i="7"/>
  <c r="K21" i="7"/>
  <c r="O20" i="7"/>
  <c r="K20" i="7"/>
  <c r="O19" i="7"/>
  <c r="K19" i="7"/>
  <c r="O17" i="7"/>
  <c r="K17" i="7"/>
  <c r="O16" i="7"/>
  <c r="K16" i="7"/>
  <c r="K15" i="7"/>
  <c r="O15" i="7" s="1"/>
  <c r="K14" i="7"/>
  <c r="O14" i="7" s="1"/>
  <c r="N14" i="7"/>
  <c r="O13" i="7"/>
  <c r="K13" i="7"/>
  <c r="O12" i="7"/>
  <c r="K12" i="7"/>
  <c r="K11" i="7"/>
  <c r="O11" i="7" s="1"/>
  <c r="O9" i="7"/>
  <c r="N9" i="7"/>
  <c r="K9" i="7"/>
  <c r="N8" i="7"/>
  <c r="K8" i="7"/>
  <c r="O8" i="7" s="1"/>
  <c r="K7" i="7"/>
  <c r="O7" i="7" s="1"/>
  <c r="A1" i="7"/>
  <c r="P45" i="9" l="1"/>
  <c r="P46" i="9"/>
  <c r="M55" i="8"/>
  <c r="M55" i="7"/>
  <c r="F15" i="9"/>
  <c r="N15" i="9" s="1"/>
  <c r="P44" i="9"/>
  <c r="N9" i="9"/>
  <c r="J19" i="9"/>
  <c r="P42" i="9"/>
  <c r="H25" i="7"/>
  <c r="P25" i="7" s="1"/>
  <c r="F23" i="9"/>
  <c r="F25" i="9"/>
  <c r="N25" i="9" s="1"/>
  <c r="P43" i="9"/>
  <c r="H40" i="9"/>
  <c r="P40" i="9" s="1"/>
  <c r="H47" i="7"/>
  <c r="P41" i="7"/>
  <c r="P47" i="7" s="1"/>
  <c r="M47" i="7" s="1"/>
  <c r="H55" i="8"/>
  <c r="H41" i="9"/>
  <c r="P41" i="9" s="1"/>
  <c r="H31" i="9"/>
  <c r="P31" i="7"/>
  <c r="N8" i="9"/>
  <c r="M55" i="9"/>
  <c r="N22" i="8"/>
  <c r="H36" i="8"/>
  <c r="P41" i="8"/>
  <c r="P47" i="8" s="1"/>
  <c r="P17" i="8"/>
  <c r="N14" i="8"/>
  <c r="N15" i="8"/>
  <c r="M47" i="1"/>
  <c r="N23" i="7"/>
  <c r="N22" i="7"/>
  <c r="N20" i="7"/>
  <c r="A1" i="6"/>
  <c r="G44" i="6"/>
  <c r="G45" i="6"/>
  <c r="G46" i="6"/>
  <c r="G47" i="6"/>
  <c r="G48" i="6"/>
  <c r="G49" i="6"/>
  <c r="G50" i="6"/>
  <c r="G43" i="6"/>
  <c r="AJ51" i="6"/>
  <c r="O51" i="6"/>
  <c r="M51" i="6"/>
  <c r="K51" i="6"/>
  <c r="I51" i="6"/>
  <c r="G51" i="6"/>
  <c r="E51" i="6"/>
  <c r="AJ50" i="6"/>
  <c r="O50" i="6"/>
  <c r="M50" i="6"/>
  <c r="K50" i="6"/>
  <c r="I50" i="6"/>
  <c r="E50" i="6"/>
  <c r="Y49" i="6"/>
  <c r="W49" i="6"/>
  <c r="U49" i="6"/>
  <c r="S49" i="6"/>
  <c r="O49" i="6"/>
  <c r="M49" i="6"/>
  <c r="K49" i="6"/>
  <c r="I49" i="6"/>
  <c r="E49" i="6"/>
  <c r="AJ48" i="6"/>
  <c r="O48" i="6"/>
  <c r="M48" i="6"/>
  <c r="K48" i="6"/>
  <c r="I48" i="6"/>
  <c r="E48" i="6"/>
  <c r="AJ47" i="6"/>
  <c r="O47" i="6"/>
  <c r="M47" i="6"/>
  <c r="K47" i="6"/>
  <c r="I47" i="6"/>
  <c r="E47" i="6"/>
  <c r="AI46" i="6"/>
  <c r="AC46" i="6"/>
  <c r="Y46" i="6"/>
  <c r="U46" i="6"/>
  <c r="O46" i="6"/>
  <c r="M46" i="6"/>
  <c r="K46" i="6"/>
  <c r="I46" i="6"/>
  <c r="E46" i="6"/>
  <c r="AI45" i="6"/>
  <c r="AJ45" i="6" s="1"/>
  <c r="O45" i="6"/>
  <c r="M45" i="6"/>
  <c r="K45" i="6"/>
  <c r="I45" i="6"/>
  <c r="E45" i="6"/>
  <c r="AG44" i="6"/>
  <c r="AE44" i="6"/>
  <c r="AA44" i="6"/>
  <c r="W44" i="6"/>
  <c r="S44" i="6"/>
  <c r="O44" i="6"/>
  <c r="M44" i="6"/>
  <c r="K44" i="6"/>
  <c r="I44" i="6"/>
  <c r="E44" i="6"/>
  <c r="AJ43" i="6"/>
  <c r="O43" i="6"/>
  <c r="M43" i="6"/>
  <c r="K43" i="6"/>
  <c r="I43" i="6"/>
  <c r="E43" i="6"/>
  <c r="D12" i="2"/>
  <c r="J12" i="2" s="1"/>
  <c r="Y33" i="6"/>
  <c r="Y30" i="6"/>
  <c r="W33" i="6"/>
  <c r="W28" i="6"/>
  <c r="U30" i="6"/>
  <c r="S28" i="6"/>
  <c r="K28" i="6"/>
  <c r="K29" i="6"/>
  <c r="K30" i="6"/>
  <c r="K31" i="6"/>
  <c r="K32" i="6"/>
  <c r="K33" i="6"/>
  <c r="K34" i="6"/>
  <c r="K35" i="6"/>
  <c r="K27" i="6"/>
  <c r="E35" i="6"/>
  <c r="G35" i="6"/>
  <c r="I35" i="6"/>
  <c r="I28" i="6"/>
  <c r="I29" i="6"/>
  <c r="I30" i="6"/>
  <c r="I31" i="6"/>
  <c r="I32" i="6"/>
  <c r="I33" i="6"/>
  <c r="I34" i="6"/>
  <c r="I27" i="6"/>
  <c r="G28" i="6"/>
  <c r="G29" i="6"/>
  <c r="G30" i="6"/>
  <c r="G31" i="6"/>
  <c r="G32" i="6"/>
  <c r="G33" i="6"/>
  <c r="G34" i="6"/>
  <c r="G27" i="6"/>
  <c r="E28" i="6"/>
  <c r="E29" i="6"/>
  <c r="E30" i="6"/>
  <c r="E31" i="6"/>
  <c r="E32" i="6"/>
  <c r="E33" i="6"/>
  <c r="E34" i="6"/>
  <c r="E27" i="6"/>
  <c r="AJ35" i="6"/>
  <c r="O35" i="6"/>
  <c r="M35" i="6"/>
  <c r="AJ34" i="6"/>
  <c r="O34" i="6"/>
  <c r="M34" i="6"/>
  <c r="U33" i="6"/>
  <c r="S33" i="6"/>
  <c r="O33" i="6"/>
  <c r="M33" i="6"/>
  <c r="AJ32" i="6"/>
  <c r="O32" i="6"/>
  <c r="M32" i="6"/>
  <c r="AJ31" i="6"/>
  <c r="O31" i="6"/>
  <c r="M31" i="6"/>
  <c r="AI30" i="6"/>
  <c r="AC30" i="6"/>
  <c r="O30" i="6"/>
  <c r="M30" i="6"/>
  <c r="AI29" i="6"/>
  <c r="AJ29" i="6" s="1"/>
  <c r="O29" i="6"/>
  <c r="M29" i="6"/>
  <c r="AG28" i="6"/>
  <c r="AE28" i="6"/>
  <c r="AA28" i="6"/>
  <c r="O28" i="6"/>
  <c r="M28" i="6"/>
  <c r="AJ27" i="6"/>
  <c r="O27" i="6"/>
  <c r="M27" i="6"/>
  <c r="P12" i="2" l="1"/>
  <c r="L12" i="2"/>
  <c r="O12" i="2"/>
  <c r="F12" i="2"/>
  <c r="I12" i="2"/>
  <c r="P47" i="9"/>
  <c r="P31" i="9"/>
  <c r="P36" i="7"/>
  <c r="M36" i="7" s="1"/>
  <c r="H47" i="9"/>
  <c r="M47" i="9" s="1"/>
  <c r="AJ46" i="6"/>
  <c r="F21" i="8" s="1"/>
  <c r="P49" i="6"/>
  <c r="AJ49" i="6"/>
  <c r="F24" i="8" s="1"/>
  <c r="P45" i="6"/>
  <c r="P46" i="6"/>
  <c r="F13" i="8" s="1"/>
  <c r="AJ44" i="6"/>
  <c r="F19" i="8" s="1"/>
  <c r="P48" i="6"/>
  <c r="P44" i="6"/>
  <c r="F11" i="8" s="1"/>
  <c r="P47" i="6"/>
  <c r="P50" i="6"/>
  <c r="P43" i="6"/>
  <c r="AJ33" i="6"/>
  <c r="AJ30" i="6"/>
  <c r="F21" i="7" s="1"/>
  <c r="AJ28" i="6"/>
  <c r="F19" i="7" s="1"/>
  <c r="P30" i="6"/>
  <c r="F13" i="7" s="1"/>
  <c r="P31" i="6"/>
  <c r="P29" i="6"/>
  <c r="P28" i="6"/>
  <c r="F11" i="7" s="1"/>
  <c r="P34" i="6"/>
  <c r="P32" i="6"/>
  <c r="P33" i="6"/>
  <c r="P27" i="6"/>
  <c r="J21" i="1"/>
  <c r="N25" i="1"/>
  <c r="N9" i="1"/>
  <c r="N8" i="1"/>
  <c r="O9" i="1"/>
  <c r="O11" i="1"/>
  <c r="O12" i="1"/>
  <c r="O13" i="1"/>
  <c r="O19" i="1"/>
  <c r="O20" i="1"/>
  <c r="O21" i="1"/>
  <c r="O22" i="1"/>
  <c r="K8" i="1"/>
  <c r="O8" i="1" s="1"/>
  <c r="K9" i="1"/>
  <c r="K11" i="1"/>
  <c r="K12" i="1"/>
  <c r="K13" i="1"/>
  <c r="K14" i="1"/>
  <c r="O14" i="1" s="1"/>
  <c r="K15" i="1"/>
  <c r="O15" i="1" s="1"/>
  <c r="K16" i="1"/>
  <c r="O16" i="1" s="1"/>
  <c r="K17" i="1"/>
  <c r="O17" i="1" s="1"/>
  <c r="K19" i="1"/>
  <c r="K20" i="1"/>
  <c r="K21" i="1"/>
  <c r="K22" i="1"/>
  <c r="K23" i="1"/>
  <c r="O23" i="1" s="1"/>
  <c r="K24" i="1"/>
  <c r="O24" i="1" s="1"/>
  <c r="K25" i="1"/>
  <c r="O25" i="1" s="1"/>
  <c r="K7" i="1"/>
  <c r="O7" i="1" s="1"/>
  <c r="H25" i="1"/>
  <c r="AJ12" i="6"/>
  <c r="AJ13" i="6"/>
  <c r="AJ15" i="6"/>
  <c r="AJ16" i="6"/>
  <c r="AJ8" i="6"/>
  <c r="F20" i="1" s="1"/>
  <c r="AG9" i="6"/>
  <c r="F17" i="1"/>
  <c r="AI11" i="6"/>
  <c r="AI10" i="6"/>
  <c r="AJ10" i="6" s="1"/>
  <c r="J22" i="1" s="1"/>
  <c r="J22" i="9" s="1"/>
  <c r="AE9" i="6"/>
  <c r="AC11" i="6"/>
  <c r="AA9" i="6"/>
  <c r="Y14" i="6"/>
  <c r="Y11" i="6"/>
  <c r="W14" i="6"/>
  <c r="W9" i="6"/>
  <c r="U14" i="6"/>
  <c r="S14" i="6"/>
  <c r="U11" i="6"/>
  <c r="S9" i="6"/>
  <c r="R12" i="2" l="1"/>
  <c r="U12" i="2"/>
  <c r="H17" i="1"/>
  <c r="H17" i="9" s="1"/>
  <c r="P17" i="9" s="1"/>
  <c r="F17" i="9"/>
  <c r="N17" i="9" s="1"/>
  <c r="F20" i="9"/>
  <c r="N20" i="9" s="1"/>
  <c r="J21" i="9"/>
  <c r="P25" i="1"/>
  <c r="H25" i="9"/>
  <c r="P25" i="9" s="1"/>
  <c r="N11" i="8"/>
  <c r="N13" i="8"/>
  <c r="F16" i="8"/>
  <c r="J16" i="8"/>
  <c r="N13" i="7"/>
  <c r="N11" i="7"/>
  <c r="J16" i="7"/>
  <c r="F16" i="7"/>
  <c r="N21" i="8"/>
  <c r="N21" i="7"/>
  <c r="N19" i="7"/>
  <c r="N19" i="8"/>
  <c r="N24" i="8"/>
  <c r="F24" i="7"/>
  <c r="J24" i="7"/>
  <c r="AJ14" i="6"/>
  <c r="J24" i="1" s="1"/>
  <c r="AJ9" i="6"/>
  <c r="F19" i="1" s="1"/>
  <c r="AJ11" i="6"/>
  <c r="F21" i="1" s="1"/>
  <c r="N20" i="1"/>
  <c r="F22" i="1"/>
  <c r="N17" i="1"/>
  <c r="O9" i="6"/>
  <c r="O10" i="6"/>
  <c r="O11" i="6"/>
  <c r="O12" i="6"/>
  <c r="J23" i="1" s="1"/>
  <c r="O13" i="6"/>
  <c r="O14" i="6"/>
  <c r="O15" i="6"/>
  <c r="O16" i="6"/>
  <c r="O8" i="6"/>
  <c r="M11" i="6"/>
  <c r="M9" i="6"/>
  <c r="M10" i="6"/>
  <c r="M12" i="6"/>
  <c r="M13" i="6"/>
  <c r="M14" i="6"/>
  <c r="M15" i="6"/>
  <c r="M16" i="6"/>
  <c r="M8" i="6"/>
  <c r="K9" i="6"/>
  <c r="K10" i="6"/>
  <c r="K11" i="6"/>
  <c r="K12" i="6"/>
  <c r="K13" i="6"/>
  <c r="K14" i="6"/>
  <c r="K15" i="6"/>
  <c r="K16" i="6"/>
  <c r="K8" i="6"/>
  <c r="I9" i="6"/>
  <c r="I10" i="6"/>
  <c r="I11" i="6"/>
  <c r="I12" i="6"/>
  <c r="I13" i="6"/>
  <c r="I14" i="6"/>
  <c r="I15" i="6"/>
  <c r="I16" i="6"/>
  <c r="I8" i="6"/>
  <c r="G9" i="6"/>
  <c r="G10" i="6"/>
  <c r="G11" i="6"/>
  <c r="G12" i="6"/>
  <c r="G13" i="6"/>
  <c r="G14" i="6"/>
  <c r="G15" i="6"/>
  <c r="G16" i="6"/>
  <c r="G8" i="6"/>
  <c r="E9" i="6"/>
  <c r="E10" i="6"/>
  <c r="E11" i="6"/>
  <c r="E12" i="6"/>
  <c r="E13" i="6"/>
  <c r="E14" i="6"/>
  <c r="E15" i="6"/>
  <c r="E16" i="6"/>
  <c r="E8" i="6"/>
  <c r="P17" i="1" l="1"/>
  <c r="F21" i="9"/>
  <c r="N21" i="9" s="1"/>
  <c r="N21" i="1"/>
  <c r="F22" i="9"/>
  <c r="N22" i="9" s="1"/>
  <c r="J23" i="9"/>
  <c r="N23" i="9" s="1"/>
  <c r="N16" i="8"/>
  <c r="J16" i="9"/>
  <c r="N16" i="7"/>
  <c r="N24" i="7"/>
  <c r="J24" i="9"/>
  <c r="N19" i="1"/>
  <c r="F19" i="9"/>
  <c r="N19" i="9" s="1"/>
  <c r="N22" i="1"/>
  <c r="F24" i="1"/>
  <c r="P8" i="6"/>
  <c r="F12" i="1" s="1"/>
  <c r="P9" i="6"/>
  <c r="P15" i="6"/>
  <c r="P11" i="6"/>
  <c r="P14" i="6"/>
  <c r="F16" i="1" s="1"/>
  <c r="P13" i="6"/>
  <c r="P10" i="6"/>
  <c r="F14" i="1" s="1"/>
  <c r="F14" i="9" s="1"/>
  <c r="N14" i="9" s="1"/>
  <c r="P12" i="6"/>
  <c r="F11" i="2"/>
  <c r="I11" i="2"/>
  <c r="L15" i="1" s="1"/>
  <c r="J11" i="2"/>
  <c r="O11" i="2" s="1"/>
  <c r="K11" i="2"/>
  <c r="Q11" i="2"/>
  <c r="Q8" i="2"/>
  <c r="Q9" i="2"/>
  <c r="Q10" i="2"/>
  <c r="Q7" i="2"/>
  <c r="K9" i="2"/>
  <c r="K10" i="2"/>
  <c r="K8" i="2"/>
  <c r="K7" i="2"/>
  <c r="F8" i="2"/>
  <c r="A1" i="2"/>
  <c r="D1" i="5"/>
  <c r="A1" i="5"/>
  <c r="A1" i="1"/>
  <c r="L23" i="7" l="1"/>
  <c r="L15" i="7"/>
  <c r="L23" i="8"/>
  <c r="H15" i="7"/>
  <c r="P15" i="7" s="1"/>
  <c r="H23" i="7"/>
  <c r="L23" i="1"/>
  <c r="P11" i="2"/>
  <c r="F12" i="9"/>
  <c r="N12" i="9" s="1"/>
  <c r="N12" i="1"/>
  <c r="F16" i="9"/>
  <c r="N16" i="9" s="1"/>
  <c r="F24" i="9"/>
  <c r="N24" i="9" s="1"/>
  <c r="N24" i="1"/>
  <c r="N14" i="1"/>
  <c r="F13" i="1"/>
  <c r="F13" i="9" s="1"/>
  <c r="N13" i="9" s="1"/>
  <c r="F11" i="1"/>
  <c r="F11" i="9" s="1"/>
  <c r="N11" i="9" s="1"/>
  <c r="N16" i="1"/>
  <c r="L11" i="2"/>
  <c r="I40" i="5"/>
  <c r="I41" i="5"/>
  <c r="N40" i="5"/>
  <c r="L23" i="9" l="1"/>
  <c r="P23" i="7"/>
  <c r="R11" i="2"/>
  <c r="U11" i="2"/>
  <c r="N11" i="1"/>
  <c r="N13" i="1"/>
  <c r="H15" i="1"/>
  <c r="N15" i="1"/>
  <c r="H23" i="1"/>
  <c r="N23" i="1"/>
  <c r="N38" i="5"/>
  <c r="N37" i="5"/>
  <c r="N35" i="5"/>
  <c r="H23" i="8" l="1"/>
  <c r="P23" i="8" s="1"/>
  <c r="L15" i="8"/>
  <c r="H15" i="8"/>
  <c r="P15" i="8" s="1"/>
  <c r="P23" i="1"/>
  <c r="P15" i="1"/>
  <c r="N41" i="5"/>
  <c r="H18" i="2"/>
  <c r="H23" i="9" l="1"/>
  <c r="P23" i="9" s="1"/>
  <c r="L15" i="9"/>
  <c r="H15" i="9"/>
  <c r="L42" i="5"/>
  <c r="L47" i="5"/>
  <c r="P15" i="9" l="1"/>
  <c r="P35" i="1"/>
  <c r="P35" i="9" s="1"/>
  <c r="H65" i="5"/>
  <c r="H66" i="5"/>
  <c r="H67" i="5"/>
  <c r="D65" i="5"/>
  <c r="D66" i="5"/>
  <c r="D67" i="5"/>
  <c r="D68" i="5"/>
  <c r="D69" i="5"/>
  <c r="N30" i="5" l="1"/>
  <c r="H35" i="9"/>
  <c r="L31" i="5"/>
  <c r="I46" i="5"/>
  <c r="I45" i="5"/>
  <c r="I39" i="5"/>
  <c r="I38" i="5"/>
  <c r="I37" i="5"/>
  <c r="I36" i="5"/>
  <c r="I35" i="5"/>
  <c r="I34" i="5"/>
  <c r="I7" i="2" l="1"/>
  <c r="I9" i="2"/>
  <c r="I10" i="2"/>
  <c r="J8" i="2"/>
  <c r="L8" i="2" s="1"/>
  <c r="J10" i="2"/>
  <c r="L10" i="2" s="1"/>
  <c r="J9" i="2"/>
  <c r="L9" i="2" s="1"/>
  <c r="J7" i="2"/>
  <c r="O7" i="2" s="1"/>
  <c r="I8" i="2"/>
  <c r="L16" i="1" l="1"/>
  <c r="L24" i="1"/>
  <c r="H16" i="1"/>
  <c r="H24" i="1"/>
  <c r="L21" i="1"/>
  <c r="H19" i="1"/>
  <c r="H21" i="1"/>
  <c r="H11" i="1"/>
  <c r="H13" i="1"/>
  <c r="H20" i="1"/>
  <c r="L22" i="1"/>
  <c r="H22" i="1"/>
  <c r="H14" i="1"/>
  <c r="H12" i="1"/>
  <c r="N45" i="5"/>
  <c r="O10" i="2"/>
  <c r="P8" i="2"/>
  <c r="R8" i="2" s="1"/>
  <c r="O8" i="2"/>
  <c r="P7" i="2"/>
  <c r="P9" i="2"/>
  <c r="O9" i="2"/>
  <c r="P10" i="2"/>
  <c r="L7" i="2"/>
  <c r="H8" i="7" s="1"/>
  <c r="F10" i="2"/>
  <c r="F7" i="2"/>
  <c r="F9" i="2"/>
  <c r="N39" i="5"/>
  <c r="N36" i="5"/>
  <c r="P34" i="1"/>
  <c r="P34" i="9" s="1"/>
  <c r="P33" i="1"/>
  <c r="P33" i="9" s="1"/>
  <c r="H32" i="1"/>
  <c r="P32" i="1" s="1"/>
  <c r="N26" i="5"/>
  <c r="H9" i="1"/>
  <c r="P11" i="1" l="1"/>
  <c r="P13" i="1"/>
  <c r="U8" i="2"/>
  <c r="P8" i="7"/>
  <c r="P21" i="1"/>
  <c r="H14" i="7"/>
  <c r="P14" i="7" s="1"/>
  <c r="L22" i="7"/>
  <c r="H20" i="7"/>
  <c r="P20" i="7" s="1"/>
  <c r="L22" i="8"/>
  <c r="H12" i="7"/>
  <c r="P12" i="7" s="1"/>
  <c r="H22" i="7"/>
  <c r="P14" i="1"/>
  <c r="L28" i="1"/>
  <c r="L21" i="7"/>
  <c r="L19" i="7"/>
  <c r="H13" i="7"/>
  <c r="P13" i="7" s="1"/>
  <c r="H21" i="7"/>
  <c r="H11" i="7"/>
  <c r="H19" i="7"/>
  <c r="P12" i="1"/>
  <c r="P19" i="1"/>
  <c r="P22" i="1"/>
  <c r="P24" i="1"/>
  <c r="P16" i="1"/>
  <c r="H8" i="1"/>
  <c r="P8" i="1" s="1"/>
  <c r="H9" i="7"/>
  <c r="P9" i="7" s="1"/>
  <c r="L24" i="8"/>
  <c r="L24" i="7"/>
  <c r="L24" i="9" s="1"/>
  <c r="L16" i="7"/>
  <c r="H16" i="7"/>
  <c r="P16" i="7" s="1"/>
  <c r="H24" i="7"/>
  <c r="P24" i="7" s="1"/>
  <c r="P20" i="1"/>
  <c r="P32" i="9"/>
  <c r="P36" i="9" s="1"/>
  <c r="M36" i="9" s="1"/>
  <c r="P36" i="1"/>
  <c r="N27" i="5"/>
  <c r="H32" i="9"/>
  <c r="N29" i="5"/>
  <c r="H34" i="9"/>
  <c r="N46" i="5"/>
  <c r="N28" i="5"/>
  <c r="H33" i="9"/>
  <c r="P9" i="1"/>
  <c r="L23" i="5"/>
  <c r="N34" i="5"/>
  <c r="H42" i="5"/>
  <c r="N42" i="5" s="1"/>
  <c r="H47" i="5"/>
  <c r="N47" i="5" s="1"/>
  <c r="H31" i="5"/>
  <c r="N31" i="5" s="1"/>
  <c r="H47" i="1"/>
  <c r="R7" i="2"/>
  <c r="U7" i="2"/>
  <c r="R9" i="2"/>
  <c r="U9" i="2"/>
  <c r="R10" i="2"/>
  <c r="U10" i="2"/>
  <c r="H55" i="1"/>
  <c r="H36" i="1"/>
  <c r="M7" i="1" l="1"/>
  <c r="L22" i="9"/>
  <c r="P28" i="1"/>
  <c r="M28" i="1" s="1"/>
  <c r="P22" i="7"/>
  <c r="M18" i="1"/>
  <c r="H28" i="7"/>
  <c r="I10" i="7" s="1"/>
  <c r="H24" i="8"/>
  <c r="P24" i="8" s="1"/>
  <c r="H11" i="8"/>
  <c r="H11" i="9" s="1"/>
  <c r="P11" i="9" s="1"/>
  <c r="H16" i="8"/>
  <c r="L16" i="8"/>
  <c r="L16" i="9" s="1"/>
  <c r="M7" i="7"/>
  <c r="L28" i="7"/>
  <c r="P19" i="7"/>
  <c r="H8" i="8"/>
  <c r="H9" i="8"/>
  <c r="L21" i="8"/>
  <c r="L21" i="9" s="1"/>
  <c r="L19" i="8"/>
  <c r="L19" i="9" s="1"/>
  <c r="H13" i="8"/>
  <c r="P13" i="8" s="1"/>
  <c r="H21" i="8"/>
  <c r="H19" i="8"/>
  <c r="P11" i="7"/>
  <c r="P21" i="7"/>
  <c r="H14" i="8"/>
  <c r="H12" i="8"/>
  <c r="P12" i="8" s="1"/>
  <c r="H20" i="8"/>
  <c r="P20" i="8" s="1"/>
  <c r="H22" i="8"/>
  <c r="P22" i="8" s="1"/>
  <c r="H22" i="9"/>
  <c r="P22" i="9" s="1"/>
  <c r="M10" i="1"/>
  <c r="P55" i="1"/>
  <c r="M55" i="1" s="1"/>
  <c r="H36" i="9"/>
  <c r="Q18" i="1"/>
  <c r="Q7" i="1"/>
  <c r="M7" i="5"/>
  <c r="L52" i="5"/>
  <c r="M23" i="5" s="1"/>
  <c r="H23" i="5"/>
  <c r="H28" i="1"/>
  <c r="P21" i="8" l="1"/>
  <c r="Q10" i="1"/>
  <c r="M18" i="7"/>
  <c r="P28" i="7"/>
  <c r="Q7" i="7" s="1"/>
  <c r="I18" i="7"/>
  <c r="H24" i="9"/>
  <c r="P24" i="9" s="1"/>
  <c r="M10" i="7"/>
  <c r="H12" i="9"/>
  <c r="P12" i="9" s="1"/>
  <c r="H20" i="9"/>
  <c r="P20" i="9" s="1"/>
  <c r="L28" i="9"/>
  <c r="L59" i="9" s="1"/>
  <c r="P16" i="8"/>
  <c r="H16" i="9"/>
  <c r="P16" i="9" s="1"/>
  <c r="L59" i="7"/>
  <c r="M28" i="7"/>
  <c r="P14" i="8"/>
  <c r="H14" i="9"/>
  <c r="P14" i="9" s="1"/>
  <c r="L28" i="8"/>
  <c r="P8" i="8"/>
  <c r="H28" i="8"/>
  <c r="I7" i="8" s="1"/>
  <c r="H8" i="9"/>
  <c r="Q18" i="7"/>
  <c r="H21" i="9"/>
  <c r="P21" i="9" s="1"/>
  <c r="P11" i="8"/>
  <c r="P9" i="8"/>
  <c r="H9" i="9"/>
  <c r="P9" i="9" s="1"/>
  <c r="P19" i="8"/>
  <c r="M18" i="8" s="1"/>
  <c r="H19" i="9"/>
  <c r="P19" i="9" s="1"/>
  <c r="H13" i="9"/>
  <c r="P13" i="9" s="1"/>
  <c r="H59" i="7"/>
  <c r="I28" i="7" s="1"/>
  <c r="I7" i="7"/>
  <c r="I18" i="1"/>
  <c r="I10" i="1"/>
  <c r="I7" i="1"/>
  <c r="M31" i="5"/>
  <c r="K53" i="5"/>
  <c r="M53" i="5" s="1"/>
  <c r="M52" i="5"/>
  <c r="M42" i="5"/>
  <c r="M47" i="5"/>
  <c r="N23" i="5"/>
  <c r="N52" i="5" s="1"/>
  <c r="H52" i="5"/>
  <c r="H49" i="5" s="1"/>
  <c r="O7" i="5"/>
  <c r="H59" i="1"/>
  <c r="Q10" i="7" l="1"/>
  <c r="P59" i="7"/>
  <c r="Q28" i="7" s="1"/>
  <c r="M59" i="7"/>
  <c r="M18" i="9"/>
  <c r="I18" i="8"/>
  <c r="M10" i="9"/>
  <c r="H59" i="8"/>
  <c r="I28" i="8" s="1"/>
  <c r="M7" i="8"/>
  <c r="P28" i="8"/>
  <c r="M28" i="8" s="1"/>
  <c r="I10" i="8"/>
  <c r="I47" i="7"/>
  <c r="H57" i="7"/>
  <c r="I36" i="7"/>
  <c r="I55" i="7"/>
  <c r="M10" i="8"/>
  <c r="L59" i="8"/>
  <c r="H28" i="9"/>
  <c r="P8" i="9"/>
  <c r="H57" i="1"/>
  <c r="I36" i="1"/>
  <c r="I47" i="1"/>
  <c r="I55" i="1"/>
  <c r="I28" i="1"/>
  <c r="I23" i="5"/>
  <c r="O23" i="5" s="1"/>
  <c r="I52" i="5"/>
  <c r="O52" i="5" s="1"/>
  <c r="I42" i="5"/>
  <c r="O42" i="5" s="1"/>
  <c r="I47" i="5"/>
  <c r="O47" i="5" s="1"/>
  <c r="I31" i="5"/>
  <c r="O31" i="5" s="1"/>
  <c r="Q36" i="7" l="1"/>
  <c r="Q55" i="7"/>
  <c r="Q47" i="7"/>
  <c r="I47" i="8"/>
  <c r="I36" i="8"/>
  <c r="I55" i="8"/>
  <c r="H57" i="8"/>
  <c r="H57" i="9" s="1"/>
  <c r="M7" i="9"/>
  <c r="P28" i="9"/>
  <c r="I7" i="9"/>
  <c r="M28" i="9"/>
  <c r="I18" i="9"/>
  <c r="H59" i="9"/>
  <c r="I10" i="9"/>
  <c r="Q7" i="8"/>
  <c r="P59" i="8"/>
  <c r="Q28" i="8" s="1"/>
  <c r="Q10" i="8"/>
  <c r="M59" i="8"/>
  <c r="Q18" i="8"/>
  <c r="M36" i="1"/>
  <c r="L59" i="1"/>
  <c r="P59" i="1" s="1"/>
  <c r="Q7" i="9" l="1"/>
  <c r="P59" i="9"/>
  <c r="Q18" i="9"/>
  <c r="Q10" i="9"/>
  <c r="I47" i="9"/>
  <c r="I55" i="9"/>
  <c r="I36" i="9"/>
  <c r="M59" i="9"/>
  <c r="Q36" i="8"/>
  <c r="Q47" i="8"/>
  <c r="Q55" i="8"/>
  <c r="I28" i="9"/>
  <c r="Q28" i="1"/>
  <c r="Q47" i="1"/>
  <c r="Q36" i="1"/>
  <c r="Q55" i="1"/>
  <c r="M59" i="1"/>
  <c r="Q28" i="9" l="1"/>
  <c r="Q55" i="9"/>
  <c r="Q36" i="9"/>
  <c r="Q47" i="9"/>
</calcChain>
</file>

<file path=xl/sharedStrings.xml><?xml version="1.0" encoding="utf-8"?>
<sst xmlns="http://schemas.openxmlformats.org/spreadsheetml/2006/main" count="687" uniqueCount="200">
  <si>
    <t>Chargée de projet</t>
  </si>
  <si>
    <t>MONTANT $</t>
  </si>
  <si>
    <t>Jour</t>
  </si>
  <si>
    <t>HEURE</t>
  </si>
  <si>
    <t>JOUR</t>
  </si>
  <si>
    <t>Heure</t>
  </si>
  <si>
    <t>#</t>
  </si>
  <si>
    <t>AN 1</t>
  </si>
  <si>
    <t>DÉTAILS</t>
  </si>
  <si>
    <t>NOTE</t>
  </si>
  <si>
    <t>NB</t>
  </si>
  <si>
    <t>UNITÉ</t>
  </si>
  <si>
    <t>RESSOURCES HUMAINES</t>
  </si>
  <si>
    <t>ÉQUIPEMENT</t>
  </si>
  <si>
    <t>SOUS-TOTAL</t>
  </si>
  <si>
    <t>SOUS_TOTAL</t>
  </si>
  <si>
    <t>MATÉRIEL / FRAIS D'ANIMATION</t>
  </si>
  <si>
    <t>FRAIS DE DÉPLACEMENT</t>
  </si>
  <si>
    <t>AN 2</t>
  </si>
  <si>
    <t>AN 3</t>
  </si>
  <si>
    <t>TOTAL AN 1:</t>
  </si>
  <si>
    <t>Notes au budget</t>
  </si>
  <si>
    <t>SALAIRES DES INTERVENANTS</t>
  </si>
  <si>
    <t>CHARGES SOCIALES</t>
  </si>
  <si>
    <t>COÛTS DE SYSTÈME</t>
  </si>
  <si>
    <t>COÛT DU MATÉRIEL</t>
  </si>
  <si>
    <t>HEURE / JOUR</t>
  </si>
  <si>
    <t>COÛT TOTAL HR</t>
  </si>
  <si>
    <t>AJUSTEMENT BUDGÉTAIRE</t>
  </si>
  <si>
    <t>MAXIMUM DU SOUTIEN FINANCIER DE LA FQJC</t>
  </si>
  <si>
    <t>MODIFICATIONS ET AJUSTEMENTS</t>
  </si>
  <si>
    <t>DATE</t>
  </si>
  <si>
    <t>RÉEL</t>
  </si>
  <si>
    <t>%</t>
  </si>
  <si>
    <t>AVANCE À LA SIGNATURE</t>
  </si>
  <si>
    <t>TOTAL À REMBOURSER</t>
  </si>
  <si>
    <t>TPS</t>
  </si>
  <si>
    <t>TVQ</t>
  </si>
  <si>
    <t>TPS+TVQ</t>
  </si>
  <si>
    <t>Nb</t>
  </si>
  <si>
    <t>ÉCART au 18/12/31</t>
  </si>
  <si>
    <t xml:space="preserve">Chèque # </t>
  </si>
  <si>
    <t xml:space="preserve">Émis le </t>
  </si>
  <si>
    <t>Chèque #</t>
  </si>
  <si>
    <t xml:space="preserve"> 2019-2021 : BUDGET / NOTES</t>
  </si>
  <si>
    <t xml:space="preserve"> 2019-2021 : BUDGET / DONNÉES POUR FINS DE CALCUL</t>
  </si>
  <si>
    <t>Délégué jeunesse</t>
  </si>
  <si>
    <t>DG Équijustice</t>
  </si>
  <si>
    <t>Intervenant Équijustice</t>
  </si>
  <si>
    <t>Chef de service LSJPA</t>
  </si>
  <si>
    <t>Coût kilomètre CISSS</t>
  </si>
  <si>
    <t>Coût kilomètre Équijustice</t>
  </si>
  <si>
    <t>DG Équijustice Est</t>
  </si>
  <si>
    <t>DG Équijustice RDL</t>
  </si>
  <si>
    <t>Chef service LSJPA</t>
  </si>
  <si>
    <t>Intervenant Équijustice Est</t>
  </si>
  <si>
    <t>Intervenant Équijustice RDL</t>
  </si>
  <si>
    <t>Chargé de projet</t>
  </si>
  <si>
    <t>Adolescent</t>
  </si>
  <si>
    <t>Comité de gouvernance</t>
  </si>
  <si>
    <t>Rencontres conjointes</t>
  </si>
  <si>
    <t>Rencontres partenaires PPC</t>
  </si>
  <si>
    <t>Rencontre partenaire CAVAC</t>
  </si>
  <si>
    <t>Développement formation</t>
  </si>
  <si>
    <t xml:space="preserve">Formation conjointe </t>
  </si>
  <si>
    <t>?</t>
  </si>
  <si>
    <t>ÉJ EST</t>
  </si>
  <si>
    <t>ÉJ RDL</t>
  </si>
  <si>
    <t>CISSS BSL</t>
  </si>
  <si>
    <t>Descriptif</t>
  </si>
  <si>
    <t>NBH</t>
  </si>
  <si>
    <t>Adolescent (4 à 6 rencontres ?)</t>
  </si>
  <si>
    <t>Adjoint DPJ LSJPA (AD HOC)</t>
  </si>
  <si>
    <r>
      <t xml:space="preserve">Consultation victime </t>
    </r>
    <r>
      <rPr>
        <b/>
        <sz val="11"/>
        <color theme="1"/>
        <rFont val="Calibri"/>
        <family val="2"/>
        <scheme val="minor"/>
      </rPr>
      <t>RDL</t>
    </r>
  </si>
  <si>
    <r>
      <t>Consultation victime</t>
    </r>
    <r>
      <rPr>
        <b/>
        <sz val="11"/>
        <color theme="1"/>
        <rFont val="Calibri"/>
        <family val="2"/>
        <scheme val="minor"/>
      </rPr>
      <t xml:space="preserve"> EST</t>
    </r>
  </si>
  <si>
    <r>
      <t xml:space="preserve">C0-intervention </t>
    </r>
    <r>
      <rPr>
        <b/>
        <sz val="11"/>
        <color theme="1"/>
        <rFont val="Calibri"/>
        <family val="2"/>
        <scheme val="minor"/>
      </rPr>
      <t>EST</t>
    </r>
  </si>
  <si>
    <r>
      <t xml:space="preserve">CO-Intervention </t>
    </r>
    <r>
      <rPr>
        <b/>
        <sz val="11"/>
        <color theme="1"/>
        <rFont val="Calibri"/>
        <family val="2"/>
        <scheme val="minor"/>
      </rPr>
      <t>RDL</t>
    </r>
  </si>
  <si>
    <r>
      <t xml:space="preserve">Médiation </t>
    </r>
    <r>
      <rPr>
        <b/>
        <sz val="11"/>
        <color theme="1"/>
        <rFont val="Calibri"/>
        <family val="2"/>
        <scheme val="minor"/>
      </rPr>
      <t>EST</t>
    </r>
  </si>
  <si>
    <r>
      <t>Médition</t>
    </r>
    <r>
      <rPr>
        <b/>
        <sz val="11"/>
        <color theme="1"/>
        <rFont val="Calibri"/>
        <family val="2"/>
        <scheme val="minor"/>
      </rPr>
      <t xml:space="preserve"> RDL</t>
    </r>
  </si>
  <si>
    <r>
      <t xml:space="preserve">Présence au tribunal </t>
    </r>
    <r>
      <rPr>
        <b/>
        <sz val="11"/>
        <color theme="1"/>
        <rFont val="Calibri"/>
        <family val="2"/>
        <scheme val="minor"/>
      </rPr>
      <t xml:space="preserve">EST </t>
    </r>
    <r>
      <rPr>
        <b/>
        <sz val="11"/>
        <color rgb="FFC00000"/>
        <rFont val="Calibri"/>
        <family val="2"/>
        <scheme val="minor"/>
      </rPr>
      <t>6H</t>
    </r>
  </si>
  <si>
    <r>
      <t xml:space="preserve">Présence au tribunal </t>
    </r>
    <r>
      <rPr>
        <b/>
        <sz val="11"/>
        <color theme="1"/>
        <rFont val="Calibri"/>
        <family val="2"/>
        <scheme val="minor"/>
      </rPr>
      <t xml:space="preserve">EST </t>
    </r>
    <r>
      <rPr>
        <b/>
        <sz val="11"/>
        <color rgb="FFC00000"/>
        <rFont val="Calibri"/>
        <family val="2"/>
        <scheme val="minor"/>
      </rPr>
      <t>3H</t>
    </r>
  </si>
  <si>
    <r>
      <t xml:space="preserve">Présence au tribunal </t>
    </r>
    <r>
      <rPr>
        <b/>
        <sz val="11"/>
        <color theme="1"/>
        <rFont val="Calibri"/>
        <family val="2"/>
        <scheme val="minor"/>
      </rPr>
      <t xml:space="preserve">RDL </t>
    </r>
    <r>
      <rPr>
        <b/>
        <sz val="11"/>
        <color rgb="FFC00000"/>
        <rFont val="Calibri"/>
        <family val="2"/>
        <scheme val="minor"/>
      </rPr>
      <t>3H</t>
    </r>
  </si>
  <si>
    <r>
      <t>Chargée de projet (</t>
    </r>
    <r>
      <rPr>
        <sz val="11"/>
        <color rgb="FFC00000"/>
        <rFont val="Calibri"/>
        <family val="2"/>
        <scheme val="minor"/>
      </rPr>
      <t>titre d'emploi ?</t>
    </r>
    <r>
      <rPr>
        <sz val="11"/>
        <color theme="1"/>
        <rFont val="Calibri"/>
        <family val="2"/>
        <scheme val="minor"/>
      </rPr>
      <t>)</t>
    </r>
  </si>
  <si>
    <t>Repas ÉQUIJUSTICE EST</t>
  </si>
  <si>
    <t>Repas ÉQUIJUSTICE RDL et CISSS</t>
  </si>
  <si>
    <t>Développement</t>
  </si>
  <si>
    <t>Intervenants ÉQUIJUSTICE EST</t>
  </si>
  <si>
    <t>DG ÉQUIJUSTICE EST</t>
  </si>
  <si>
    <t>Intervenants ÉQUIJUSTICE RDL</t>
  </si>
  <si>
    <t>DG ÉQUIJUSTICE RDL</t>
  </si>
  <si>
    <t>CISSS Chef de service LSJPA</t>
  </si>
  <si>
    <t>CISSS Délégués jeunesse</t>
  </si>
  <si>
    <t>Implantation</t>
  </si>
  <si>
    <t>Adolescent LSJPA</t>
  </si>
  <si>
    <t>Présence</t>
  </si>
  <si>
    <t>DÉVELOPPEMENT</t>
  </si>
  <si>
    <t>IMPLANTATION</t>
  </si>
  <si>
    <t>NB PARTICIPANTS</t>
  </si>
  <si>
    <t>Heures par événement</t>
  </si>
  <si>
    <t>Événements prévus</t>
  </si>
  <si>
    <t>Étiquettes</t>
  </si>
  <si>
    <t>ORGANISATION PARENTE</t>
  </si>
  <si>
    <t>HEURES</t>
  </si>
  <si>
    <t>NB TOTAL</t>
  </si>
  <si>
    <t>Début projet / juin (2j X18 sem)</t>
  </si>
  <si>
    <t xml:space="preserve">Août / décembre (1j x 19 sem) </t>
  </si>
  <si>
    <t>CONTRIBUTION</t>
  </si>
  <si>
    <t>PROJET TOTAL</t>
  </si>
  <si>
    <t>COMMUNNICATION</t>
  </si>
  <si>
    <t>AN 2: GOUVERNANCE ET SUIVI</t>
  </si>
  <si>
    <t>Adjoint DPJ/LSJPA</t>
  </si>
  <si>
    <t>COMMUNICATION</t>
  </si>
  <si>
    <t>AN 3: GOUVERNANCE ET SUIVI</t>
  </si>
  <si>
    <t>AN 1: BUDGET 2019</t>
  </si>
  <si>
    <t xml:space="preserve"> 2019-2021 : BUDGET AN 1 2019</t>
  </si>
  <si>
    <t>PROJET NOVATEUR (APPEL DE PROPOSITIONS 2017): 
CISSS/BSL UNE VOIE PARTAGÉE / ADOLESCENTS - VICTIMES</t>
  </si>
  <si>
    <t>2019: AN 1</t>
  </si>
  <si>
    <t>2020: AN 2</t>
  </si>
  <si>
    <t xml:space="preserve"> 2019-2021 : BUDGET AN 2 2020</t>
  </si>
  <si>
    <t>2 jours x11 mois</t>
  </si>
  <si>
    <t>Gouvernance</t>
  </si>
  <si>
    <t>Activités</t>
  </si>
  <si>
    <t>Matériel de communication</t>
  </si>
  <si>
    <t>À définir</t>
  </si>
  <si>
    <t>DIVERS</t>
  </si>
  <si>
    <t>Papeterie</t>
  </si>
  <si>
    <t>Inscription colloque</t>
  </si>
  <si>
    <t xml:space="preserve"> 2019-2021 : BUDGET AN 3 2021</t>
  </si>
  <si>
    <t>2020: AN 3</t>
  </si>
  <si>
    <t>5 jours pour évaluation</t>
  </si>
  <si>
    <t>Adolescent (3 rencontres ?)</t>
  </si>
  <si>
    <t xml:space="preserve"> 2019-2021 : BUDGET GLOBAL</t>
  </si>
  <si>
    <t>TOTAL BUDGET GLOBAL:</t>
  </si>
  <si>
    <t>AN 1 + AN 2 + AN 3</t>
  </si>
  <si>
    <t xml:space="preserve">Les frais de déplacement sont déterminés en fonction de la politique en vigueur propre à chacune des deux Équijustice, soit 0.43$/km. Pour Équijustice de l’Est, les frais de repas sont de 17$ alors pour l’Équijustice Rivière-du-Loup, c’est 14.30$. Pour les déléguées à la jeunesse, c’est la circulaire du MSSS qui est en vigueur, soit 0.455 km et une allocation du 14.30 $ pour le diner. </t>
  </si>
  <si>
    <t xml:space="preserve">Le nombre de kilomètres moyen pour chacune des Équijustice a été estimé en fonction de la réalité territoriale et du volume des demandes. Pour l’Est, la moyenne des déplacements est estimé à154 km et pour l’ouest à 110 km. Le nombre de kilomètres moyen pour les rencontres (concertation, formation) pour l’ensemble des déléguées à la jeunesse est estimé à 560 km. Aucun déplacement n’est requis pour la rencontre conjointe de co-intervention. </t>
  </si>
  <si>
    <t xml:space="preserve">Le temps moyen requis pour les consultations victimes a été estimé à 4 heures. Cela inclut, la préparation, la consultation, la rédaction, la concertation et le temps de déplacement. Le nombre estimé de consultations victimes a été établi en fonction des données des dernières années. En ce qui concerne, l’ajout d’une rencontre conjointe intervenant Équijustice et délégué à la jeunesse, le temps requis pour la préparation, la réalisation de l’intervention et le suivi est de 3 heures. Finalement, en regard du processus de médiation, le temps estimé pour le processus complet est de 12 heures.  </t>
  </si>
  <si>
    <t>Pour l’Équijustice de l’Est, un montant est ajouté pour les coûts relatifs à la présence au Tribunal considérant qu’il doive se déplacer sur le territoire. Effectivement, il a trois Palais de justice contrairement à un seul pour la région de Rivière-du-Loup. Cela engendre du temps et des coûts de déplacements. 200 km doit être parcouru pour aller à Matane et 210 km pour se rendre à Amqui.</t>
  </si>
  <si>
    <t>De plus, vous serez à même de constater que les trois organisations contribueront en assumant certains frais à partir de leur budget de fonctionnement</t>
  </si>
  <si>
    <t xml:space="preserve">Principalement, notre proposition budgétaire se compose de charges salariales, de frais de fonction et de frais de formation. Une allocation est aussi prévue pour susciter la participation d’un jeune contrevenant. Quelques sommes sont aussi prévues pour supporter les dépenses en regard des communications (dépliants, etc.) et des frais de papeterie. </t>
  </si>
  <si>
    <t>Déléguée J</t>
  </si>
  <si>
    <t>#1</t>
  </si>
  <si>
    <t>#6</t>
  </si>
  <si>
    <t>Nous avons fait le choix de prévoir l’embauche d’une ressource, c’est-à-dire d’un chargé de projet qui nous accompagnera pendant les trois années du projet. L’intensité de son accompagnement variera selon les différentes étapes du projet. C'est une dléguée jeunesse travaillant 3j/sem qui complètera sa semaine avec la tâche de chargée de projet.</t>
  </si>
  <si>
    <t>#2</t>
  </si>
  <si>
    <t>Le volume de journées nécessaires en soutien au projet est variable à la semaine, mais une prévision de 55 à 58 jours est à retenir pour l'An 1, de 22 à 25 jours pour l'An 2 et de 27 jours pour l'An 3.</t>
  </si>
  <si>
    <t>#3</t>
  </si>
  <si>
    <t>#4</t>
  </si>
  <si>
    <t>Les intervenants d'Équijustice EST sont au nombre de 3.</t>
  </si>
  <si>
    <t>#5</t>
  </si>
  <si>
    <t>#7</t>
  </si>
  <si>
    <t>Les intervenants d'Équijustice Rivière-du-Loup sont au nombre de 3.</t>
  </si>
  <si>
    <t>Les coûts de salaire du chef de service LSJPA et de l'adjointe DPJ/DP sont des contributions en nature du CISSS.</t>
  </si>
  <si>
    <t>Les délégués jeunesse sont au nomre de 7 en plus de la chargée de projet. À valider</t>
  </si>
  <si>
    <t>#8</t>
  </si>
  <si>
    <t>Les participations de l'adolescent aux diverses rencontres devront être définies. De 4 à 6 présences sont prévues pour l'An 1 et 3 présences /année pour l'An 2 et 3.</t>
  </si>
  <si>
    <t>Le nombre d'heures par présence aux diverses rencontres de gouvernance, planification, coordination ainsi qu'aux opérations du projet est précisé sous l'onglet «Activités»</t>
  </si>
  <si>
    <t>Ces heures comprennent la préparation (28h) et la dispensation (14h) d'une formation spécialisée.</t>
  </si>
  <si>
    <t>#3 #9</t>
  </si>
  <si>
    <t>Pas de déplacement à Rimouski</t>
  </si>
  <si>
    <t xml:space="preserve">RDL-Rimouski </t>
  </si>
  <si>
    <t>RDL- Trois-Pistoles</t>
  </si>
  <si>
    <t>Déplacements CISSS</t>
  </si>
  <si>
    <t>Trajets</t>
  </si>
  <si>
    <t>KM</t>
  </si>
  <si>
    <t>Déplacements Équijustice EST</t>
  </si>
  <si>
    <t>Matane - Trois-Pistoles</t>
  </si>
  <si>
    <t xml:space="preserve">RDL- Trois-Pistoles: </t>
  </si>
  <si>
    <t xml:space="preserve">Mitis- Trois-Pistoles: </t>
  </si>
  <si>
    <t xml:space="preserve">Mitis- Rivière du Loup : </t>
  </si>
  <si>
    <t xml:space="preserve">Mitis-Rimouski </t>
  </si>
  <si>
    <t>Tribunal Matane</t>
  </si>
  <si>
    <t>Tribunal Amqui</t>
  </si>
  <si>
    <t>Déplacements Équijustice RDL</t>
  </si>
  <si>
    <t>$</t>
  </si>
  <si>
    <t>Budget de frais de déplacement</t>
  </si>
  <si>
    <t>CISSS</t>
  </si>
  <si>
    <t>Réunions conjointes</t>
  </si>
  <si>
    <t>Rencontres partenaires</t>
  </si>
  <si>
    <t>Formation - préparation</t>
  </si>
  <si>
    <t>Formation - dispensation</t>
  </si>
  <si>
    <t>Consultation victime</t>
  </si>
  <si>
    <t>Co-intervention</t>
  </si>
  <si>
    <t>Médiation</t>
  </si>
  <si>
    <t>Présence tribunal</t>
  </si>
  <si>
    <t>TOTAL AN 3:</t>
  </si>
  <si>
    <t>Kilométrage et repas</t>
  </si>
  <si>
    <t>Équijustice EST</t>
  </si>
  <si>
    <t>Équijustice RDL</t>
  </si>
  <si>
    <t>Gouvernance et coordination</t>
  </si>
  <si>
    <r>
      <t xml:space="preserve">Heures par événement </t>
    </r>
    <r>
      <rPr>
        <i/>
        <sz val="10"/>
        <color theme="1"/>
        <rFont val="Calibri"/>
        <family val="2"/>
        <scheme val="minor"/>
      </rPr>
      <t>#10</t>
    </r>
  </si>
  <si>
    <t>#11</t>
  </si>
  <si>
    <t>#12</t>
  </si>
  <si>
    <t>#13</t>
  </si>
  <si>
    <t>#14</t>
  </si>
  <si>
    <t>#15</t>
  </si>
  <si>
    <t>#16</t>
  </si>
  <si>
    <t>Cette ligne indique les efforts budgétaires à effectuer pour obtenir un budget équilbré, conforme à l'accord de contribution.</t>
  </si>
  <si>
    <t>Déplacement moyen</t>
  </si>
  <si>
    <t>Déplacement total DJ (concertation - 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</si>
</sst>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 #,##0.00_)\ &quot;$&quot;_ ;_ * \(#,##0.00\)\ &quot;$&quot;_ ;_ * &quot;-&quot;??_)\ &quot;$&quot;_ ;_ @_ "/>
    <numFmt numFmtId="164" formatCode="0.0%"/>
    <numFmt numFmtId="165" formatCode="_ * #,##0.000_)\ &quot;$&quot;_ ;_ * \(#,##0.000\)\ &quot;$&quot;_ ;_ * &quot;-&quot;??_)\ &quot;$&quot;_ ;_ @_ "/>
    <numFmt numFmtId="167" formatCode="_ * #,##0.00_)\ &quot;$&quot;_ ;_ * \(#,##0.00\)\ &quot;$&quot;_ ;_ * &quot;-&quot;???_)\ &quot;$&quot;_ ;_ @_ "/>
  </numFmts>
  <fonts count="4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sz val="12"/>
      <color theme="1"/>
      <name val="Calibri"/>
      <family val="2"/>
    </font>
    <font>
      <b/>
      <sz val="16"/>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sz val="8"/>
      <color theme="0"/>
      <name val="Calibri"/>
      <family val="2"/>
      <scheme val="minor"/>
    </font>
    <font>
      <b/>
      <sz val="8"/>
      <color theme="0"/>
      <name val="Calibri"/>
      <family val="2"/>
      <scheme val="minor"/>
    </font>
    <font>
      <sz val="11"/>
      <color theme="0" tint="-0.249977111117893"/>
      <name val="Calibri"/>
      <family val="2"/>
      <scheme val="minor"/>
    </font>
    <font>
      <i/>
      <sz val="8"/>
      <color theme="1"/>
      <name val="Calibri"/>
      <family val="2"/>
      <scheme val="minor"/>
    </font>
    <font>
      <b/>
      <i/>
      <sz val="11"/>
      <color theme="1"/>
      <name val="Calibri"/>
      <family val="2"/>
      <scheme val="minor"/>
    </font>
    <font>
      <b/>
      <i/>
      <sz val="8"/>
      <color theme="1"/>
      <name val="Calibri"/>
      <family val="2"/>
      <scheme val="minor"/>
    </font>
    <font>
      <b/>
      <i/>
      <sz val="11"/>
      <color theme="0" tint="-0.249977111117893"/>
      <name val="Calibri"/>
      <family val="2"/>
      <scheme val="minor"/>
    </font>
    <font>
      <b/>
      <sz val="10"/>
      <color theme="1"/>
      <name val="Calibri"/>
      <family val="2"/>
      <scheme val="minor"/>
    </font>
    <font>
      <b/>
      <sz val="8"/>
      <color theme="0" tint="-0.249977111117893"/>
      <name val="Calibri"/>
      <family val="2"/>
      <scheme val="minor"/>
    </font>
    <font>
      <b/>
      <sz val="20"/>
      <color theme="1"/>
      <name val="Calibri"/>
      <family val="2"/>
      <scheme val="minor"/>
    </font>
    <font>
      <b/>
      <sz val="22"/>
      <color theme="1"/>
      <name val="Calibri"/>
      <family val="2"/>
      <scheme val="minor"/>
    </font>
    <font>
      <b/>
      <sz val="20"/>
      <color theme="0"/>
      <name val="Calibri"/>
      <family val="2"/>
      <scheme val="minor"/>
    </font>
    <font>
      <sz val="11"/>
      <color rgb="FFC00000"/>
      <name val="Calibri"/>
      <family val="2"/>
      <scheme val="minor"/>
    </font>
    <font>
      <sz val="9"/>
      <color rgb="FFC00000"/>
      <name val="Calibri"/>
      <family val="2"/>
      <scheme val="minor"/>
    </font>
    <font>
      <sz val="10"/>
      <color rgb="FFC00000"/>
      <name val="Calibri"/>
      <family val="2"/>
      <scheme val="minor"/>
    </font>
    <font>
      <b/>
      <sz val="8"/>
      <color rgb="FFC00000"/>
      <name val="Calibri"/>
      <family val="2"/>
      <scheme val="minor"/>
    </font>
    <font>
      <b/>
      <sz val="16"/>
      <color rgb="FF92D050"/>
      <name val="Calibri"/>
      <family val="2"/>
      <scheme val="minor"/>
    </font>
    <font>
      <b/>
      <sz val="24"/>
      <color theme="1"/>
      <name val="Calibri"/>
      <family val="2"/>
      <scheme val="minor"/>
    </font>
    <font>
      <sz val="8"/>
      <color rgb="FFC00000"/>
      <name val="Calibri"/>
      <family val="2"/>
      <scheme val="minor"/>
    </font>
    <font>
      <b/>
      <sz val="11"/>
      <color rgb="FFC00000"/>
      <name val="Calibri"/>
      <family val="2"/>
      <scheme val="minor"/>
    </font>
    <font>
      <b/>
      <i/>
      <sz val="11"/>
      <color rgb="FFC00000"/>
      <name val="Calibri"/>
      <family val="2"/>
      <scheme val="minor"/>
    </font>
    <font>
      <b/>
      <i/>
      <sz val="8"/>
      <color theme="0" tint="-0.249977111117893"/>
      <name val="Calibri"/>
      <family val="2"/>
      <scheme val="minor"/>
    </font>
    <font>
      <sz val="12"/>
      <color theme="1"/>
      <name val="Calibri"/>
      <family val="2"/>
      <scheme val="minor"/>
    </font>
    <font>
      <sz val="9"/>
      <color theme="1"/>
      <name val="Calibri"/>
      <family val="2"/>
      <scheme val="minor"/>
    </font>
    <font>
      <sz val="10"/>
      <name val="Calibri"/>
      <family val="2"/>
      <scheme val="minor"/>
    </font>
    <font>
      <sz val="11"/>
      <name val="Calibri"/>
      <family val="2"/>
      <scheme val="minor"/>
    </font>
    <font>
      <b/>
      <i/>
      <sz val="11"/>
      <name val="Calibri"/>
      <family val="2"/>
      <scheme val="minor"/>
    </font>
    <font>
      <b/>
      <sz val="16"/>
      <color theme="0"/>
      <name val="Calibri"/>
      <family val="2"/>
      <scheme val="minor"/>
    </font>
    <font>
      <b/>
      <sz val="9"/>
      <color theme="1"/>
      <name val="Calibri"/>
      <family val="2"/>
      <scheme val="minor"/>
    </font>
    <font>
      <b/>
      <sz val="14"/>
      <color theme="0"/>
      <name val="Calibri"/>
      <family val="2"/>
      <scheme val="minor"/>
    </font>
    <font>
      <b/>
      <sz val="12"/>
      <color theme="0"/>
      <name val="Calibri"/>
      <family val="2"/>
      <scheme val="minor"/>
    </font>
    <font>
      <b/>
      <sz val="10"/>
      <color theme="0"/>
      <name val="Calibri"/>
      <family val="2"/>
      <scheme val="minor"/>
    </font>
    <font>
      <sz val="12"/>
      <color theme="1"/>
      <name val="Calibri Light"/>
      <family val="2"/>
    </font>
    <font>
      <i/>
      <sz val="11"/>
      <color theme="1"/>
      <name val="Calibri"/>
      <family val="2"/>
      <scheme val="minor"/>
    </font>
    <font>
      <i/>
      <sz val="10"/>
      <color theme="1"/>
      <name val="Calibri"/>
      <family val="2"/>
      <scheme val="minor"/>
    </font>
  </fonts>
  <fills count="19">
    <fill>
      <patternFill patternType="none"/>
    </fill>
    <fill>
      <patternFill patternType="gray125"/>
    </fill>
    <fill>
      <patternFill patternType="solid">
        <fgColor theme="4"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theme="7"/>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bgColor indexed="64"/>
      </patternFill>
    </fill>
    <fill>
      <patternFill patternType="solid">
        <fgColor rgb="FFC00000"/>
        <bgColor indexed="64"/>
      </patternFill>
    </fill>
    <fill>
      <patternFill patternType="solid">
        <fgColor theme="4" tint="0.79998168889431442"/>
        <bgColor indexed="64"/>
      </patternFill>
    </fill>
    <fill>
      <patternFill patternType="solid">
        <fgColor rgb="FFFF9999"/>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7030A0"/>
        <bgColor indexed="64"/>
      </patternFill>
    </fill>
    <fill>
      <patternFill patternType="solid">
        <fgColor theme="4"/>
        <bgColor indexed="64"/>
      </patternFill>
    </fill>
  </fills>
  <borders count="50">
    <border>
      <left/>
      <right/>
      <top/>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FF0000"/>
      </top>
      <bottom style="medium">
        <color rgb="FFFF0000"/>
      </bottom>
      <diagonal/>
    </border>
    <border>
      <left/>
      <right style="thin">
        <color theme="4" tint="0.39997558519241921"/>
      </right>
      <top/>
      <bottom/>
      <diagonal/>
    </border>
    <border>
      <left style="medium">
        <color theme="4" tint="0.39997558519241921"/>
      </left>
      <right/>
      <top style="medium">
        <color theme="4" tint="0.39997558519241921"/>
      </top>
      <bottom style="medium">
        <color theme="4" tint="0.39997558519241921"/>
      </bottom>
      <diagonal/>
    </border>
    <border>
      <left/>
      <right/>
      <top style="medium">
        <color theme="4" tint="0.39997558519241921"/>
      </top>
      <bottom style="medium">
        <color theme="4" tint="0.39997558519241921"/>
      </bottom>
      <diagonal/>
    </border>
    <border>
      <left/>
      <right style="medium">
        <color theme="4" tint="0.39997558519241921"/>
      </right>
      <top style="medium">
        <color theme="4" tint="0.39997558519241921"/>
      </top>
      <bottom style="medium">
        <color theme="4" tint="0.39997558519241921"/>
      </bottom>
      <diagonal/>
    </border>
    <border>
      <left style="medium">
        <color rgb="FF92D050"/>
      </left>
      <right/>
      <top/>
      <bottom style="medium">
        <color rgb="FF92D050"/>
      </bottom>
      <diagonal/>
    </border>
    <border>
      <left/>
      <right/>
      <top/>
      <bottom style="medium">
        <color rgb="FF92D050"/>
      </bottom>
      <diagonal/>
    </border>
    <border>
      <left/>
      <right style="medium">
        <color rgb="FF92D050"/>
      </right>
      <top/>
      <bottom style="medium">
        <color rgb="FF92D050"/>
      </bottom>
      <diagonal/>
    </border>
    <border>
      <left/>
      <right/>
      <top style="medium">
        <color indexed="64"/>
      </top>
      <bottom/>
      <diagonal/>
    </border>
    <border>
      <left style="thin">
        <color indexed="64"/>
      </left>
      <right/>
      <top style="thin">
        <color indexed="64"/>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bottom style="medium">
        <color theme="3"/>
      </bottom>
      <diagonal/>
    </border>
    <border>
      <left style="thick">
        <color theme="3"/>
      </left>
      <right/>
      <top style="thick">
        <color theme="3"/>
      </top>
      <bottom/>
      <diagonal/>
    </border>
    <border>
      <left/>
      <right/>
      <top style="thick">
        <color theme="3"/>
      </top>
      <bottom/>
      <diagonal/>
    </border>
    <border>
      <left style="thick">
        <color theme="3"/>
      </left>
      <right/>
      <top/>
      <bottom/>
      <diagonal/>
    </border>
    <border>
      <left style="thick">
        <color theme="3"/>
      </left>
      <right/>
      <top/>
      <bottom style="thick">
        <color theme="3"/>
      </bottom>
      <diagonal/>
    </border>
    <border>
      <left/>
      <right/>
      <top/>
      <bottom style="thick">
        <color theme="3"/>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3"/>
      </left>
      <right style="thick">
        <color theme="3"/>
      </right>
      <top/>
      <bottom style="medium">
        <color theme="3"/>
      </bottom>
      <diagonal/>
    </border>
    <border>
      <left style="thick">
        <color theme="3"/>
      </left>
      <right/>
      <top/>
      <bottom style="medium">
        <color theme="3"/>
      </bottom>
      <diagonal/>
    </border>
    <border>
      <left/>
      <right style="thick">
        <color rgb="FFC00000"/>
      </right>
      <top/>
      <bottom style="medium">
        <color theme="3"/>
      </bottom>
      <diagonal/>
    </border>
    <border>
      <left style="thick">
        <color rgb="FFC00000"/>
      </left>
      <right/>
      <top/>
      <bottom style="medium">
        <color theme="3"/>
      </bottom>
      <diagonal/>
    </border>
    <border>
      <left style="thick">
        <color indexed="64"/>
      </left>
      <right/>
      <top/>
      <bottom/>
      <diagonal/>
    </border>
    <border>
      <left style="thick">
        <color indexed="64"/>
      </left>
      <right/>
      <top style="thin">
        <color indexed="64"/>
      </top>
      <bottom style="double">
        <color indexed="64"/>
      </bottom>
      <diagonal/>
    </border>
    <border>
      <left/>
      <right style="thick">
        <color theme="3"/>
      </right>
      <top/>
      <bottom/>
      <diagonal/>
    </border>
    <border>
      <left/>
      <right style="thick">
        <color indexed="64"/>
      </right>
      <top/>
      <bottom/>
      <diagonal/>
    </border>
    <border>
      <left/>
      <right style="thick">
        <color indexed="64"/>
      </right>
      <top style="thin">
        <color indexed="64"/>
      </top>
      <bottom style="double">
        <color indexed="64"/>
      </bottom>
      <diagonal/>
    </border>
    <border>
      <left/>
      <right style="thick">
        <color indexed="64"/>
      </right>
      <top style="thin">
        <color indexed="64"/>
      </top>
      <bottom style="medium">
        <color indexed="64"/>
      </bottom>
      <diagonal/>
    </border>
    <border>
      <left/>
      <right/>
      <top style="double">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68">
    <xf numFmtId="0" fontId="0" fillId="0" borderId="0" xfId="0"/>
    <xf numFmtId="44" fontId="0" fillId="0" borderId="0" xfId="1" applyFont="1"/>
    <xf numFmtId="0" fontId="0" fillId="0" borderId="0" xfId="0" quotePrefix="1"/>
    <xf numFmtId="0" fontId="0" fillId="0" borderId="0" xfId="0" applyAlignment="1">
      <alignment horizontal="center"/>
    </xf>
    <xf numFmtId="44" fontId="0" fillId="0" borderId="0" xfId="0" applyNumberFormat="1"/>
    <xf numFmtId="0" fontId="0" fillId="0" borderId="0" xfId="0" applyAlignment="1">
      <alignment horizontal="center" vertical="center"/>
    </xf>
    <xf numFmtId="44" fontId="0" fillId="0" borderId="0" xfId="1" applyFont="1" applyAlignment="1">
      <alignment horizontal="center"/>
    </xf>
    <xf numFmtId="0" fontId="4" fillId="0" borderId="0" xfId="0" applyFont="1" applyAlignment="1">
      <alignment horizontal="center"/>
    </xf>
    <xf numFmtId="0" fontId="7" fillId="0" borderId="0" xfId="0" applyFont="1" applyAlignment="1">
      <alignment horizontal="center" vertical="center"/>
    </xf>
    <xf numFmtId="0" fontId="8" fillId="0" borderId="0" xfId="0" applyFont="1" applyAlignment="1">
      <alignment horizontal="justify" vertical="center"/>
    </xf>
    <xf numFmtId="0" fontId="9" fillId="0" borderId="0" xfId="0" applyFont="1"/>
    <xf numFmtId="0" fontId="11" fillId="0" borderId="0" xfId="0" applyFont="1" applyAlignment="1">
      <alignment horizontal="center"/>
    </xf>
    <xf numFmtId="0" fontId="12" fillId="0" borderId="0" xfId="0" applyFont="1" applyAlignment="1">
      <alignment horizontal="center"/>
    </xf>
    <xf numFmtId="0" fontId="11" fillId="0" borderId="0" xfId="0" quotePrefix="1" applyFont="1" applyAlignment="1">
      <alignment horizontal="center"/>
    </xf>
    <xf numFmtId="44" fontId="4" fillId="0" borderId="0" xfId="1" applyFont="1" applyAlignment="1">
      <alignment horizontal="center"/>
    </xf>
    <xf numFmtId="0" fontId="4" fillId="0" borderId="0" xfId="0" applyFont="1"/>
    <xf numFmtId="0" fontId="4" fillId="0" borderId="1" xfId="0" applyFont="1" applyBorder="1"/>
    <xf numFmtId="0" fontId="12" fillId="0" borderId="1" xfId="0" applyFont="1" applyBorder="1" applyAlignment="1">
      <alignment horizontal="center"/>
    </xf>
    <xf numFmtId="0" fontId="4" fillId="0" borderId="1" xfId="0" applyFont="1" applyBorder="1" applyAlignment="1">
      <alignment horizontal="center"/>
    </xf>
    <xf numFmtId="44" fontId="4" fillId="0" borderId="1" xfId="1" applyFont="1" applyBorder="1"/>
    <xf numFmtId="0" fontId="2" fillId="6" borderId="0" xfId="0" applyFont="1" applyFill="1" applyBorder="1"/>
    <xf numFmtId="0" fontId="5" fillId="6" borderId="0" xfId="0" applyFont="1" applyFill="1" applyBorder="1"/>
    <xf numFmtId="0" fontId="13" fillId="6" borderId="0" xfId="0" applyFont="1" applyFill="1" applyBorder="1" applyAlignment="1">
      <alignment horizontal="center"/>
    </xf>
    <xf numFmtId="0" fontId="5" fillId="6" borderId="0" xfId="0" applyFont="1" applyFill="1" applyBorder="1" applyAlignment="1">
      <alignment horizontal="center"/>
    </xf>
    <xf numFmtId="44" fontId="5" fillId="6" borderId="0" xfId="1" applyFont="1" applyFill="1" applyBorder="1"/>
    <xf numFmtId="0" fontId="14" fillId="6" borderId="0" xfId="0" applyFont="1" applyFill="1" applyBorder="1" applyAlignment="1">
      <alignment horizontal="center"/>
    </xf>
    <xf numFmtId="0" fontId="2" fillId="6" borderId="0" xfId="0" applyFont="1" applyFill="1" applyBorder="1" applyAlignment="1">
      <alignment horizontal="center"/>
    </xf>
    <xf numFmtId="44" fontId="2" fillId="6" borderId="0" xfId="1" applyFont="1" applyFill="1" applyBorder="1"/>
    <xf numFmtId="0" fontId="2" fillId="6" borderId="0" xfId="0" applyFont="1" applyFill="1"/>
    <xf numFmtId="0" fontId="14" fillId="6" borderId="0" xfId="0" applyFont="1" applyFill="1" applyAlignment="1">
      <alignment horizontal="center"/>
    </xf>
    <xf numFmtId="0" fontId="2" fillId="6" borderId="0" xfId="0" applyFont="1" applyFill="1" applyAlignment="1">
      <alignment horizontal="center"/>
    </xf>
    <xf numFmtId="44" fontId="2" fillId="6" borderId="0" xfId="1" applyFont="1" applyFill="1"/>
    <xf numFmtId="44" fontId="6" fillId="5" borderId="2" xfId="1" applyFont="1" applyFill="1" applyBorder="1"/>
    <xf numFmtId="0" fontId="0" fillId="0" borderId="0" xfId="0" applyFont="1"/>
    <xf numFmtId="0" fontId="15" fillId="0" borderId="0" xfId="0" applyFont="1"/>
    <xf numFmtId="0" fontId="15" fillId="0" borderId="0" xfId="0" applyFont="1" applyAlignment="1">
      <alignment horizontal="center"/>
    </xf>
    <xf numFmtId="0" fontId="0" fillId="0" borderId="0" xfId="1" applyNumberFormat="1" applyFont="1" applyAlignment="1">
      <alignment horizontal="center"/>
    </xf>
    <xf numFmtId="44" fontId="1" fillId="0" borderId="0" xfId="1" applyFont="1"/>
    <xf numFmtId="0" fontId="9" fillId="7" borderId="0" xfId="0" applyFont="1" applyFill="1"/>
    <xf numFmtId="0" fontId="4" fillId="7" borderId="0" xfId="0" applyFont="1" applyFill="1"/>
    <xf numFmtId="0" fontId="0" fillId="7" borderId="0" xfId="0" applyFill="1"/>
    <xf numFmtId="0" fontId="16" fillId="0" borderId="0" xfId="0" applyFont="1" applyAlignment="1">
      <alignment horizontal="center"/>
    </xf>
    <xf numFmtId="0" fontId="0" fillId="0" borderId="0" xfId="0" applyFont="1" applyAlignment="1">
      <alignment horizontal="center"/>
    </xf>
    <xf numFmtId="0" fontId="17" fillId="0" borderId="0" xfId="0" applyFont="1"/>
    <xf numFmtId="0" fontId="18" fillId="0" borderId="0" xfId="0" applyFont="1" applyAlignment="1">
      <alignment horizontal="center"/>
    </xf>
    <xf numFmtId="0" fontId="17" fillId="0" borderId="0" xfId="0" applyFont="1" applyAlignment="1">
      <alignment horizontal="center" vertical="center"/>
    </xf>
    <xf numFmtId="0" fontId="17" fillId="0" borderId="0" xfId="0" applyFont="1" applyAlignment="1">
      <alignment horizontal="center"/>
    </xf>
    <xf numFmtId="0" fontId="19" fillId="0" borderId="0" xfId="0" applyFont="1"/>
    <xf numFmtId="0" fontId="4" fillId="0" borderId="0" xfId="0" applyFont="1" applyAlignment="1">
      <alignment horizontal="center" vertical="center"/>
    </xf>
    <xf numFmtId="0" fontId="8" fillId="0" borderId="0" xfId="0" applyFont="1" applyAlignment="1">
      <alignment vertical="center"/>
    </xf>
    <xf numFmtId="44" fontId="5" fillId="6" borderId="0" xfId="1" applyFont="1" applyFill="1" applyBorder="1" applyAlignment="1">
      <alignment horizontal="center"/>
    </xf>
    <xf numFmtId="9" fontId="10" fillId="0" borderId="0" xfId="2" applyFont="1" applyAlignment="1">
      <alignment horizontal="center"/>
    </xf>
    <xf numFmtId="9" fontId="4" fillId="0" borderId="1" xfId="2" applyFont="1" applyBorder="1" applyAlignment="1">
      <alignment horizontal="center"/>
    </xf>
    <xf numFmtId="44" fontId="2" fillId="6" borderId="0" xfId="1" applyFont="1" applyFill="1" applyBorder="1" applyAlignment="1">
      <alignment horizontal="center"/>
    </xf>
    <xf numFmtId="44" fontId="3" fillId="0" borderId="0" xfId="1" applyFont="1" applyAlignment="1">
      <alignment horizontal="center"/>
    </xf>
    <xf numFmtId="44" fontId="2" fillId="6" borderId="0" xfId="1" applyFont="1" applyFill="1" applyAlignment="1">
      <alignment horizontal="center"/>
    </xf>
    <xf numFmtId="9" fontId="20" fillId="0" borderId="1" xfId="2" applyFont="1" applyBorder="1" applyAlignment="1">
      <alignment horizontal="center"/>
    </xf>
    <xf numFmtId="0" fontId="21" fillId="0" borderId="0" xfId="0" applyFont="1" applyAlignment="1">
      <alignment horizontal="center"/>
    </xf>
    <xf numFmtId="0" fontId="22" fillId="0" borderId="0" xfId="0" applyFont="1" applyFill="1" applyAlignment="1"/>
    <xf numFmtId="0" fontId="4" fillId="0" borderId="0" xfId="0" applyFont="1" applyAlignment="1">
      <alignment vertical="center"/>
    </xf>
    <xf numFmtId="0" fontId="4" fillId="0" borderId="0" xfId="0" applyFont="1" applyAlignment="1">
      <alignment horizontal="center" vertical="center" wrapText="1"/>
    </xf>
    <xf numFmtId="164" fontId="0" fillId="0" borderId="0" xfId="2" applyNumberFormat="1" applyFont="1"/>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44" fontId="0" fillId="0" borderId="0" xfId="1" applyFont="1" applyBorder="1"/>
    <xf numFmtId="0" fontId="0" fillId="0" borderId="0" xfId="0" applyBorder="1" applyAlignment="1">
      <alignment horizontal="center"/>
    </xf>
    <xf numFmtId="0" fontId="0" fillId="0" borderId="0" xfId="0" applyBorder="1"/>
    <xf numFmtId="44" fontId="0" fillId="0" borderId="0" xfId="0" applyNumberFormat="1" applyBorder="1"/>
    <xf numFmtId="44" fontId="0" fillId="0" borderId="3" xfId="0" applyNumberFormat="1" applyBorder="1"/>
    <xf numFmtId="0" fontId="4" fillId="0" borderId="4" xfId="0" applyFont="1" applyBorder="1" applyAlignment="1">
      <alignment horizontal="center" vertical="center"/>
    </xf>
    <xf numFmtId="44" fontId="0" fillId="0" borderId="4" xfId="1" applyFont="1" applyBorder="1"/>
    <xf numFmtId="164" fontId="0" fillId="0" borderId="0" xfId="2" applyNumberFormat="1" applyFont="1" applyBorder="1"/>
    <xf numFmtId="0" fontId="4" fillId="0" borderId="0" xfId="0" applyFont="1" applyBorder="1"/>
    <xf numFmtId="0" fontId="12" fillId="0" borderId="0" xfId="0" applyFont="1" applyBorder="1" applyAlignment="1">
      <alignment horizontal="center"/>
    </xf>
    <xf numFmtId="0" fontId="4" fillId="0" borderId="0" xfId="0" applyFont="1" applyBorder="1" applyAlignment="1">
      <alignment horizontal="center"/>
    </xf>
    <xf numFmtId="44" fontId="4" fillId="0" borderId="0" xfId="1" applyFont="1" applyBorder="1"/>
    <xf numFmtId="9" fontId="20" fillId="0" borderId="0" xfId="2" applyFont="1" applyBorder="1" applyAlignment="1">
      <alignment horizontal="center"/>
    </xf>
    <xf numFmtId="0" fontId="0" fillId="0" borderId="9" xfId="0" applyBorder="1"/>
    <xf numFmtId="0" fontId="4" fillId="8" borderId="0" xfId="0" applyFont="1" applyFill="1" applyBorder="1"/>
    <xf numFmtId="0" fontId="12" fillId="8" borderId="0" xfId="0" applyFont="1" applyFill="1" applyBorder="1" applyAlignment="1">
      <alignment horizontal="center"/>
    </xf>
    <xf numFmtId="0" fontId="4" fillId="8" borderId="0" xfId="0" applyFont="1" applyFill="1" applyBorder="1" applyAlignment="1">
      <alignment horizontal="center"/>
    </xf>
    <xf numFmtId="44" fontId="4" fillId="8" borderId="0" xfId="1" applyFont="1" applyFill="1" applyBorder="1"/>
    <xf numFmtId="9" fontId="20" fillId="8" borderId="0" xfId="2" applyFont="1" applyFill="1" applyBorder="1" applyAlignment="1">
      <alignment horizontal="center"/>
    </xf>
    <xf numFmtId="0" fontId="23" fillId="0" borderId="0" xfId="0" applyFont="1" applyAlignment="1">
      <alignment vertical="center"/>
    </xf>
    <xf numFmtId="0" fontId="0" fillId="0" borderId="0" xfId="0" applyFill="1"/>
    <xf numFmtId="0" fontId="4" fillId="0" borderId="0" xfId="0" applyFont="1" applyAlignment="1">
      <alignment horizontal="center"/>
    </xf>
    <xf numFmtId="0" fontId="0" fillId="0" borderId="0" xfId="0" applyAlignment="1">
      <alignment horizontal="right"/>
    </xf>
    <xf numFmtId="0" fontId="25" fillId="0" borderId="0" xfId="0" applyFont="1" applyAlignment="1">
      <alignment horizontal="center" vertical="center"/>
    </xf>
    <xf numFmtId="0" fontId="10" fillId="0" borderId="0" xfId="0" applyFont="1"/>
    <xf numFmtId="0" fontId="26" fillId="0" borderId="0" xfId="0" applyFont="1"/>
    <xf numFmtId="0" fontId="2" fillId="5" borderId="0" xfId="0" applyFont="1" applyFill="1"/>
    <xf numFmtId="0" fontId="5" fillId="5" borderId="0" xfId="0" applyFont="1" applyFill="1"/>
    <xf numFmtId="0" fontId="13" fillId="5" borderId="0" xfId="0" applyFont="1" applyFill="1" applyAlignment="1">
      <alignment horizontal="center"/>
    </xf>
    <xf numFmtId="0" fontId="5" fillId="5" borderId="0" xfId="0" applyFont="1" applyFill="1" applyAlignment="1">
      <alignment horizontal="center"/>
    </xf>
    <xf numFmtId="44" fontId="5" fillId="5" borderId="0" xfId="1" applyFont="1" applyFill="1"/>
    <xf numFmtId="44" fontId="2" fillId="5" borderId="0" xfId="1" applyFont="1" applyFill="1" applyAlignment="1">
      <alignment horizontal="right"/>
    </xf>
    <xf numFmtId="44" fontId="0" fillId="6" borderId="0" xfId="1" applyFont="1" applyFill="1"/>
    <xf numFmtId="0" fontId="25" fillId="0" borderId="0" xfId="0" applyFont="1" applyAlignment="1">
      <alignment horizontal="center"/>
    </xf>
    <xf numFmtId="44" fontId="27" fillId="0" borderId="0" xfId="1" applyFont="1" applyAlignment="1">
      <alignment horizontal="center"/>
    </xf>
    <xf numFmtId="44" fontId="27" fillId="0" borderId="0" xfId="1" applyFont="1" applyBorder="1" applyAlignment="1">
      <alignment horizontal="center"/>
    </xf>
    <xf numFmtId="0" fontId="28" fillId="0" borderId="0" xfId="0" applyFont="1"/>
    <xf numFmtId="0" fontId="0" fillId="6" borderId="0" xfId="0" applyFill="1"/>
    <xf numFmtId="0" fontId="0" fillId="9" borderId="0" xfId="0" applyFill="1"/>
    <xf numFmtId="44" fontId="0" fillId="9" borderId="0" xfId="1" applyFont="1" applyFill="1"/>
    <xf numFmtId="0" fontId="0" fillId="0" borderId="4" xfId="0" applyBorder="1"/>
    <xf numFmtId="0" fontId="0" fillId="6" borderId="4" xfId="0" applyFill="1" applyBorder="1"/>
    <xf numFmtId="0" fontId="0" fillId="6" borderId="0" xfId="0" applyFill="1" applyBorder="1"/>
    <xf numFmtId="9" fontId="10" fillId="0" borderId="0" xfId="2" applyFont="1" applyBorder="1" applyAlignment="1">
      <alignment horizontal="center"/>
    </xf>
    <xf numFmtId="9" fontId="6" fillId="5" borderId="2" xfId="2" applyFont="1" applyFill="1" applyBorder="1" applyAlignment="1">
      <alignment horizontal="center"/>
    </xf>
    <xf numFmtId="9" fontId="10" fillId="0" borderId="1" xfId="2" applyFont="1" applyBorder="1" applyAlignment="1">
      <alignment horizontal="center"/>
    </xf>
    <xf numFmtId="0" fontId="4" fillId="0" borderId="4" xfId="0" applyFont="1" applyBorder="1" applyAlignment="1">
      <alignment horizontal="center"/>
    </xf>
    <xf numFmtId="44" fontId="4" fillId="0" borderId="0" xfId="1" applyFont="1" applyFill="1" applyBorder="1" applyAlignment="1">
      <alignment horizontal="center"/>
    </xf>
    <xf numFmtId="44" fontId="0" fillId="0" borderId="1" xfId="1" applyFont="1" applyBorder="1"/>
    <xf numFmtId="44" fontId="0" fillId="0" borderId="4" xfId="0" applyNumberFormat="1" applyBorder="1"/>
    <xf numFmtId="44" fontId="4" fillId="0" borderId="17" xfId="2" applyNumberFormat="1" applyFont="1" applyBorder="1" applyAlignment="1">
      <alignment horizontal="center"/>
    </xf>
    <xf numFmtId="44" fontId="31" fillId="0" borderId="0" xfId="1" applyFont="1" applyAlignment="1">
      <alignment horizontal="center"/>
    </xf>
    <xf numFmtId="44" fontId="25" fillId="0" borderId="0" xfId="1" applyFont="1"/>
    <xf numFmtId="14" fontId="0" fillId="0" borderId="0" xfId="1" applyNumberFormat="1" applyFont="1" applyAlignment="1"/>
    <xf numFmtId="14" fontId="0" fillId="0" borderId="0" xfId="0" applyNumberFormat="1" applyFont="1" applyBorder="1" applyAlignment="1">
      <alignment horizontal="left"/>
    </xf>
    <xf numFmtId="44" fontId="0" fillId="9" borderId="0" xfId="1" applyFont="1" applyFill="1" applyAlignment="1">
      <alignment horizontal="center"/>
    </xf>
    <xf numFmtId="0" fontId="0" fillId="0" borderId="0" xfId="0" applyFont="1" applyAlignment="1">
      <alignment horizontal="center" vertical="center"/>
    </xf>
    <xf numFmtId="0" fontId="33" fillId="0" borderId="0" xfId="0" applyFont="1" applyAlignment="1">
      <alignment horizontal="center" vertical="center"/>
    </xf>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4" fillId="0" borderId="0" xfId="0" applyFont="1" applyFill="1" applyBorder="1" applyAlignment="1">
      <alignment horizontal="center"/>
    </xf>
    <xf numFmtId="0" fontId="17" fillId="10" borderId="0" xfId="0" applyFont="1" applyFill="1" applyAlignment="1">
      <alignment horizontal="center" vertical="center"/>
    </xf>
    <xf numFmtId="0" fontId="4" fillId="10" borderId="0" xfId="0" applyFont="1" applyFill="1" applyBorder="1" applyAlignment="1">
      <alignment horizontal="center" vertical="top"/>
    </xf>
    <xf numFmtId="0" fontId="4" fillId="10" borderId="0" xfId="0" applyFont="1" applyFill="1" applyBorder="1" applyAlignment="1">
      <alignment horizontal="center"/>
    </xf>
    <xf numFmtId="0" fontId="34" fillId="0" borderId="0" xfId="0" applyFont="1" applyAlignment="1">
      <alignment horizontal="center"/>
    </xf>
    <xf numFmtId="0" fontId="0" fillId="0" borderId="1" xfId="1" applyNumberFormat="1" applyFont="1" applyBorder="1"/>
    <xf numFmtId="9" fontId="6" fillId="5" borderId="2" xfId="2" applyFont="1" applyFill="1" applyBorder="1"/>
    <xf numFmtId="9" fontId="10" fillId="0" borderId="3" xfId="2" applyFont="1" applyBorder="1" applyAlignment="1">
      <alignment horizontal="center"/>
    </xf>
    <xf numFmtId="44" fontId="7" fillId="0" borderId="16" xfId="1" applyFont="1" applyFill="1" applyBorder="1" applyAlignment="1">
      <alignment vertical="center"/>
    </xf>
    <xf numFmtId="44" fontId="7" fillId="0" borderId="0" xfId="1" applyFont="1" applyFill="1" applyBorder="1" applyAlignment="1">
      <alignment vertical="center"/>
    </xf>
    <xf numFmtId="44" fontId="35" fillId="0" borderId="16" xfId="1" applyFont="1" applyFill="1" applyBorder="1" applyAlignment="1">
      <alignment vertical="center"/>
    </xf>
    <xf numFmtId="44" fontId="35" fillId="0" borderId="0" xfId="1" applyFont="1" applyFill="1" applyBorder="1" applyAlignment="1">
      <alignment vertical="center"/>
    </xf>
    <xf numFmtId="0" fontId="30" fillId="0" borderId="0" xfId="0" applyFont="1" applyAlignment="1">
      <alignment vertical="center" wrapText="1"/>
    </xf>
    <xf numFmtId="0" fontId="0" fillId="0" borderId="0" xfId="0" applyNumberFormat="1" applyBorder="1" applyAlignment="1">
      <alignment horizontal="center"/>
    </xf>
    <xf numFmtId="165" fontId="0" fillId="0" borderId="0" xfId="1" applyNumberFormat="1" applyFont="1"/>
    <xf numFmtId="0" fontId="0" fillId="0" borderId="0" xfId="0" applyAlignment="1">
      <alignment horizontal="left"/>
    </xf>
    <xf numFmtId="0" fontId="0" fillId="0" borderId="0" xfId="0" applyAlignment="1">
      <alignment horizontal="center"/>
    </xf>
    <xf numFmtId="9" fontId="0" fillId="0" borderId="0" xfId="2" applyFont="1" applyAlignment="1">
      <alignment horizontal="center"/>
    </xf>
    <xf numFmtId="44" fontId="38" fillId="0" borderId="0" xfId="1" applyFont="1"/>
    <xf numFmtId="44" fontId="38" fillId="0" borderId="0" xfId="1" applyFont="1" applyBorder="1"/>
    <xf numFmtId="44" fontId="37" fillId="0" borderId="0" xfId="1" applyFont="1" applyBorder="1" applyAlignment="1">
      <alignment horizontal="center"/>
    </xf>
    <xf numFmtId="0" fontId="38" fillId="0" borderId="0" xfId="0" applyNumberFormat="1" applyFont="1" applyAlignment="1">
      <alignment horizontal="center" vertical="center"/>
    </xf>
    <xf numFmtId="0" fontId="38" fillId="0" borderId="0" xfId="0" applyFont="1" applyAlignment="1">
      <alignment horizontal="center" vertical="center"/>
    </xf>
    <xf numFmtId="0" fontId="38" fillId="0" borderId="0" xfId="0" applyFont="1" applyAlignment="1">
      <alignment horizontal="center"/>
    </xf>
    <xf numFmtId="0" fontId="39" fillId="0" borderId="0" xfId="0" applyFont="1" applyAlignment="1">
      <alignment horizontal="center"/>
    </xf>
    <xf numFmtId="0" fontId="0" fillId="0" borderId="0" xfId="0" applyBorder="1" applyAlignment="1">
      <alignment horizontal="center"/>
    </xf>
    <xf numFmtId="9" fontId="36" fillId="0" borderId="0" xfId="2" applyFont="1" applyBorder="1" applyAlignment="1">
      <alignment horizontal="center"/>
    </xf>
    <xf numFmtId="9" fontId="36" fillId="0" borderId="27" xfId="2" applyFont="1" applyBorder="1" applyAlignment="1">
      <alignment horizontal="center"/>
    </xf>
    <xf numFmtId="9" fontId="10" fillId="0" borderId="27" xfId="2" applyFont="1" applyBorder="1" applyAlignment="1">
      <alignment horizontal="center"/>
    </xf>
    <xf numFmtId="9" fontId="36" fillId="0" borderId="0" xfId="2" applyFont="1" applyBorder="1"/>
    <xf numFmtId="9" fontId="36" fillId="0" borderId="34" xfId="2" applyFont="1" applyBorder="1" applyAlignment="1">
      <alignment horizontal="center"/>
    </xf>
    <xf numFmtId="9" fontId="36" fillId="0" borderId="34" xfId="2" applyFont="1" applyBorder="1"/>
    <xf numFmtId="0" fontId="4" fillId="13" borderId="0" xfId="0" applyFont="1" applyFill="1" applyBorder="1"/>
    <xf numFmtId="0" fontId="4" fillId="13" borderId="0" xfId="0" applyFont="1" applyFill="1" applyBorder="1" applyAlignment="1">
      <alignment horizontal="center"/>
    </xf>
    <xf numFmtId="0" fontId="4" fillId="13" borderId="27" xfId="0" applyFont="1" applyFill="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5" xfId="0" applyFont="1" applyBorder="1" applyAlignment="1">
      <alignment horizontal="center" textRotation="90"/>
    </xf>
    <xf numFmtId="0" fontId="0" fillId="0" borderId="37" xfId="0" applyBorder="1"/>
    <xf numFmtId="0" fontId="0" fillId="0" borderId="39" xfId="0" applyBorder="1" applyAlignment="1">
      <alignment horizontal="left"/>
    </xf>
    <xf numFmtId="0" fontId="9" fillId="0" borderId="0" xfId="0" applyFont="1" applyBorder="1" applyAlignment="1">
      <alignment horizontal="center"/>
    </xf>
    <xf numFmtId="0" fontId="0" fillId="0" borderId="22" xfId="0" applyBorder="1"/>
    <xf numFmtId="0" fontId="4" fillId="0" borderId="40" xfId="0" applyFont="1" applyBorder="1" applyAlignment="1">
      <alignment horizontal="center"/>
    </xf>
    <xf numFmtId="0" fontId="4" fillId="0" borderId="31" xfId="0" applyFont="1" applyBorder="1" applyAlignment="1">
      <alignment horizontal="center"/>
    </xf>
    <xf numFmtId="0" fontId="4" fillId="0" borderId="4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14" borderId="32" xfId="0" applyFont="1" applyFill="1" applyBorder="1" applyAlignment="1">
      <alignment horizontal="center"/>
    </xf>
    <xf numFmtId="0" fontId="4" fillId="14" borderId="35" xfId="0" applyFont="1" applyFill="1" applyBorder="1" applyAlignment="1">
      <alignment horizontal="center"/>
    </xf>
    <xf numFmtId="44" fontId="2" fillId="6" borderId="0" xfId="1" applyFont="1" applyFill="1" applyBorder="1" applyAlignment="1">
      <alignment horizontal="center" wrapText="1"/>
    </xf>
    <xf numFmtId="44" fontId="38" fillId="0" borderId="0" xfId="1" applyFont="1" applyAlignment="1">
      <alignment horizontal="center"/>
    </xf>
    <xf numFmtId="44" fontId="38" fillId="0" borderId="0" xfId="1" applyFont="1" applyBorder="1" applyAlignment="1">
      <alignment horizontal="center"/>
    </xf>
    <xf numFmtId="44" fontId="25" fillId="0" borderId="0" xfId="1" applyFont="1" applyAlignment="1">
      <alignment horizontal="center"/>
    </xf>
    <xf numFmtId="44" fontId="1" fillId="0" borderId="0" xfId="1" applyFont="1" applyAlignment="1">
      <alignment horizontal="center"/>
    </xf>
    <xf numFmtId="44" fontId="4" fillId="0" borderId="1" xfId="1" applyFont="1" applyBorder="1" applyAlignment="1">
      <alignment horizontal="center"/>
    </xf>
    <xf numFmtId="44" fontId="4" fillId="0" borderId="0" xfId="1" applyFont="1" applyBorder="1" applyAlignment="1">
      <alignment horizontal="center"/>
    </xf>
    <xf numFmtId="44" fontId="4" fillId="8" borderId="0" xfId="1" applyFont="1" applyFill="1" applyBorder="1" applyAlignment="1">
      <alignment horizontal="center"/>
    </xf>
    <xf numFmtId="44" fontId="6" fillId="5" borderId="2" xfId="1" applyFont="1" applyFill="1" applyBorder="1" applyAlignment="1">
      <alignment horizontal="center"/>
    </xf>
    <xf numFmtId="44" fontId="5" fillId="5" borderId="0" xfId="1" applyFont="1" applyFill="1" applyAlignment="1">
      <alignment horizontal="center"/>
    </xf>
    <xf numFmtId="44" fontId="4" fillId="0" borderId="43" xfId="1" applyFont="1" applyBorder="1" applyAlignment="1">
      <alignment horizontal="center"/>
    </xf>
    <xf numFmtId="9" fontId="0" fillId="0" borderId="0" xfId="2" applyFont="1" applyBorder="1" applyAlignment="1">
      <alignment horizontal="center"/>
    </xf>
    <xf numFmtId="44" fontId="0" fillId="0" borderId="0" xfId="1" applyFont="1" applyBorder="1" applyAlignment="1">
      <alignment horizontal="center"/>
    </xf>
    <xf numFmtId="0" fontId="4" fillId="0" borderId="43" xfId="1" applyNumberFormat="1" applyFont="1" applyBorder="1" applyAlignment="1">
      <alignment horizontal="center"/>
    </xf>
    <xf numFmtId="0" fontId="0" fillId="0" borderId="43" xfId="2" applyNumberFormat="1" applyFont="1" applyBorder="1" applyAlignment="1">
      <alignment horizontal="center"/>
    </xf>
    <xf numFmtId="0" fontId="0" fillId="0" borderId="43" xfId="1" applyNumberFormat="1" applyFont="1" applyBorder="1" applyAlignment="1">
      <alignment horizontal="center"/>
    </xf>
    <xf numFmtId="0" fontId="38" fillId="0" borderId="43" xfId="1" applyNumberFormat="1" applyFont="1" applyBorder="1" applyAlignment="1">
      <alignment horizontal="center"/>
    </xf>
    <xf numFmtId="0" fontId="4" fillId="0" borderId="44" xfId="2" applyNumberFormat="1" applyFont="1" applyBorder="1" applyAlignment="1">
      <alignment horizontal="center"/>
    </xf>
    <xf numFmtId="0" fontId="25" fillId="0" borderId="0" xfId="1" applyNumberFormat="1" applyFont="1" applyAlignment="1">
      <alignment horizontal="center"/>
    </xf>
    <xf numFmtId="0" fontId="1" fillId="0" borderId="0" xfId="1" applyNumberFormat="1" applyFont="1" applyAlignment="1">
      <alignment horizontal="center"/>
    </xf>
    <xf numFmtId="0" fontId="4" fillId="0" borderId="1" xfId="1" applyNumberFormat="1" applyFont="1" applyBorder="1" applyAlignment="1">
      <alignment horizontal="center"/>
    </xf>
    <xf numFmtId="0" fontId="4" fillId="0" borderId="0" xfId="1" applyNumberFormat="1" applyFont="1" applyBorder="1" applyAlignment="1">
      <alignment horizontal="center"/>
    </xf>
    <xf numFmtId="0" fontId="4" fillId="8" borderId="0" xfId="1" applyNumberFormat="1" applyFont="1" applyFill="1" applyBorder="1" applyAlignment="1">
      <alignment horizontal="center"/>
    </xf>
    <xf numFmtId="0" fontId="6" fillId="5" borderId="2" xfId="1" applyNumberFormat="1" applyFont="1" applyFill="1" applyBorder="1" applyAlignment="1">
      <alignment horizontal="center"/>
    </xf>
    <xf numFmtId="0" fontId="5" fillId="5" borderId="0" xfId="1" applyNumberFormat="1" applyFont="1" applyFill="1" applyAlignment="1">
      <alignment horizontal="center"/>
    </xf>
    <xf numFmtId="0" fontId="0" fillId="0" borderId="0" xfId="1" applyNumberFormat="1" applyFont="1" applyAlignment="1"/>
    <xf numFmtId="9" fontId="10" fillId="0" borderId="43" xfId="2" applyFont="1" applyBorder="1" applyAlignment="1">
      <alignment horizontal="center"/>
    </xf>
    <xf numFmtId="44" fontId="37" fillId="0" borderId="43" xfId="1" applyFont="1" applyBorder="1" applyAlignment="1">
      <alignment horizontal="center"/>
    </xf>
    <xf numFmtId="9" fontId="17" fillId="0" borderId="0" xfId="2" applyFont="1" applyBorder="1" applyAlignment="1">
      <alignment horizontal="center"/>
    </xf>
    <xf numFmtId="9" fontId="1" fillId="0" borderId="0" xfId="2" applyFont="1" applyBorder="1" applyAlignment="1">
      <alignment horizontal="center"/>
    </xf>
    <xf numFmtId="0" fontId="4" fillId="0" borderId="0" xfId="0" applyFont="1" applyAlignment="1">
      <alignment horizontal="center"/>
    </xf>
    <xf numFmtId="9" fontId="41" fillId="0" borderId="1" xfId="2" applyFont="1" applyBorder="1" applyAlignment="1">
      <alignment horizontal="center"/>
    </xf>
    <xf numFmtId="0" fontId="4" fillId="0" borderId="0" xfId="0" applyFont="1" applyAlignment="1">
      <alignment horizontal="right"/>
    </xf>
    <xf numFmtId="9" fontId="20" fillId="5" borderId="2" xfId="1" applyNumberFormat="1" applyFont="1" applyFill="1" applyBorder="1" applyAlignment="1">
      <alignment horizontal="center"/>
    </xf>
    <xf numFmtId="44" fontId="4" fillId="0" borderId="1" xfId="1" applyNumberFormat="1" applyFont="1" applyBorder="1" applyAlignment="1">
      <alignment horizontal="center"/>
    </xf>
    <xf numFmtId="0" fontId="17" fillId="0" borderId="0" xfId="0" applyFont="1" applyFill="1" applyAlignment="1">
      <alignment horizontal="center" vertical="center"/>
    </xf>
    <xf numFmtId="44" fontId="0" fillId="0" borderId="0" xfId="1" applyFont="1" applyFill="1"/>
    <xf numFmtId="44" fontId="0" fillId="0" borderId="0" xfId="1" applyFont="1" applyFill="1" applyAlignment="1">
      <alignment horizontal="center"/>
    </xf>
    <xf numFmtId="0" fontId="0" fillId="0" borderId="43" xfId="1" applyNumberFormat="1" applyFont="1" applyFill="1" applyBorder="1" applyAlignment="1">
      <alignment horizontal="center"/>
    </xf>
    <xf numFmtId="9" fontId="0" fillId="0" borderId="0" xfId="2" applyFont="1" applyFill="1" applyBorder="1" applyAlignment="1">
      <alignment horizontal="center"/>
    </xf>
    <xf numFmtId="44" fontId="0" fillId="0" borderId="0" xfId="1" applyFont="1" applyFill="1" applyBorder="1"/>
    <xf numFmtId="0" fontId="0" fillId="0" borderId="0" xfId="0" applyFill="1" applyAlignment="1">
      <alignment horizontal="center"/>
    </xf>
    <xf numFmtId="44" fontId="0" fillId="0" borderId="46" xfId="1" applyFont="1" applyBorder="1" applyAlignment="1">
      <alignment horizontal="center"/>
    </xf>
    <xf numFmtId="44" fontId="25" fillId="0" borderId="46" xfId="1" applyFont="1" applyBorder="1" applyAlignment="1">
      <alignment horizontal="center"/>
    </xf>
    <xf numFmtId="44" fontId="1" fillId="0" borderId="46" xfId="1" applyFont="1" applyBorder="1" applyAlignment="1">
      <alignment horizontal="center"/>
    </xf>
    <xf numFmtId="44" fontId="2" fillId="6" borderId="46" xfId="1" applyFont="1" applyFill="1" applyBorder="1" applyAlignment="1">
      <alignment horizontal="center"/>
    </xf>
    <xf numFmtId="44" fontId="4" fillId="8" borderId="46" xfId="1" applyFont="1" applyFill="1" applyBorder="1" applyAlignment="1">
      <alignment horizontal="center"/>
    </xf>
    <xf numFmtId="44" fontId="6" fillId="5" borderId="48" xfId="1" applyFont="1" applyFill="1" applyBorder="1" applyAlignment="1">
      <alignment horizontal="center"/>
    </xf>
    <xf numFmtId="44" fontId="27" fillId="0" borderId="46" xfId="1" applyFont="1" applyBorder="1" applyAlignment="1">
      <alignment horizontal="center"/>
    </xf>
    <xf numFmtId="44" fontId="3" fillId="0" borderId="46" xfId="1" applyFont="1" applyBorder="1" applyAlignment="1">
      <alignment horizontal="center"/>
    </xf>
    <xf numFmtId="9" fontId="4" fillId="0" borderId="47" xfId="2" applyFont="1" applyBorder="1" applyAlignment="1">
      <alignment horizontal="center"/>
    </xf>
    <xf numFmtId="44" fontId="0" fillId="0" borderId="49" xfId="1" applyFont="1" applyBorder="1" applyAlignment="1">
      <alignment horizontal="center"/>
    </xf>
    <xf numFmtId="9" fontId="4" fillId="5" borderId="48" xfId="2" applyFont="1" applyFill="1" applyBorder="1" applyAlignment="1">
      <alignment horizontal="center"/>
    </xf>
    <xf numFmtId="44" fontId="43" fillId="12" borderId="2" xfId="1" applyFont="1" applyFill="1" applyBorder="1"/>
    <xf numFmtId="44" fontId="43" fillId="12" borderId="2" xfId="1" applyFont="1" applyFill="1" applyBorder="1" applyAlignment="1">
      <alignment horizontal="center"/>
    </xf>
    <xf numFmtId="0" fontId="43" fillId="12" borderId="2" xfId="1" applyNumberFormat="1" applyFont="1" applyFill="1" applyBorder="1" applyAlignment="1">
      <alignment horizontal="center"/>
    </xf>
    <xf numFmtId="9" fontId="44" fillId="12" borderId="2" xfId="1" applyNumberFormat="1" applyFont="1" applyFill="1" applyBorder="1" applyAlignment="1">
      <alignment horizontal="center"/>
    </xf>
    <xf numFmtId="44" fontId="43" fillId="11" borderId="2" xfId="1" applyFont="1" applyFill="1" applyBorder="1"/>
    <xf numFmtId="44" fontId="43" fillId="11" borderId="2" xfId="1" applyFont="1" applyFill="1" applyBorder="1" applyAlignment="1">
      <alignment horizontal="center"/>
    </xf>
    <xf numFmtId="0" fontId="43" fillId="11" borderId="2" xfId="1" applyNumberFormat="1" applyFont="1" applyFill="1" applyBorder="1" applyAlignment="1">
      <alignment horizontal="center"/>
    </xf>
    <xf numFmtId="9" fontId="44" fillId="11" borderId="2" xfId="1" applyNumberFormat="1" applyFont="1" applyFill="1" applyBorder="1" applyAlignment="1">
      <alignment horizontal="center"/>
    </xf>
    <xf numFmtId="0" fontId="2" fillId="11" borderId="0" xfId="0" applyFont="1" applyFill="1"/>
    <xf numFmtId="0" fontId="5" fillId="11" borderId="0" xfId="0" applyFont="1" applyFill="1"/>
    <xf numFmtId="0" fontId="13" fillId="11" borderId="0" xfId="0" applyFont="1" applyFill="1" applyAlignment="1">
      <alignment horizontal="center"/>
    </xf>
    <xf numFmtId="0" fontId="5" fillId="11" borderId="0" xfId="0" applyFont="1" applyFill="1" applyAlignment="1">
      <alignment horizontal="center"/>
    </xf>
    <xf numFmtId="44" fontId="5" fillId="11" borderId="0" xfId="1" applyFont="1" applyFill="1"/>
    <xf numFmtId="44" fontId="5" fillId="11" borderId="0" xfId="1" applyFont="1" applyFill="1" applyAlignment="1">
      <alignment horizontal="center"/>
    </xf>
    <xf numFmtId="0" fontId="5" fillId="11" borderId="0" xfId="1" applyNumberFormat="1" applyFont="1" applyFill="1" applyAlignment="1">
      <alignment horizontal="center"/>
    </xf>
    <xf numFmtId="44" fontId="2" fillId="11" borderId="0" xfId="1" applyFont="1" applyFill="1" applyAlignment="1">
      <alignment horizontal="right"/>
    </xf>
    <xf numFmtId="0" fontId="2" fillId="12" borderId="0" xfId="0" applyFont="1" applyFill="1"/>
    <xf numFmtId="0" fontId="5" fillId="12" borderId="0" xfId="0" applyFont="1" applyFill="1"/>
    <xf numFmtId="0" fontId="13" fillId="12" borderId="0" xfId="0" applyFont="1" applyFill="1" applyAlignment="1">
      <alignment horizontal="center"/>
    </xf>
    <xf numFmtId="0" fontId="5" fillId="12" borderId="0" xfId="0" applyFont="1" applyFill="1" applyAlignment="1">
      <alignment horizontal="center"/>
    </xf>
    <xf numFmtId="44" fontId="5" fillId="12" borderId="0" xfId="1" applyFont="1" applyFill="1"/>
    <xf numFmtId="44" fontId="5" fillId="12" borderId="0" xfId="1" applyFont="1" applyFill="1" applyAlignment="1">
      <alignment horizontal="center"/>
    </xf>
    <xf numFmtId="0" fontId="5" fillId="12" borderId="0" xfId="1" applyNumberFormat="1" applyFont="1" applyFill="1" applyAlignment="1">
      <alignment horizontal="center"/>
    </xf>
    <xf numFmtId="44" fontId="2" fillId="12" borderId="0" xfId="1" applyFont="1" applyFill="1" applyAlignment="1">
      <alignment horizontal="right"/>
    </xf>
    <xf numFmtId="44" fontId="43" fillId="17" borderId="2" xfId="1" applyFont="1" applyFill="1" applyBorder="1"/>
    <xf numFmtId="44" fontId="43" fillId="17" borderId="2" xfId="1" applyFont="1" applyFill="1" applyBorder="1" applyAlignment="1">
      <alignment horizontal="center"/>
    </xf>
    <xf numFmtId="0" fontId="43" fillId="17" borderId="2" xfId="1" applyNumberFormat="1" applyFont="1" applyFill="1" applyBorder="1" applyAlignment="1">
      <alignment horizontal="center"/>
    </xf>
    <xf numFmtId="9" fontId="44" fillId="17" borderId="2" xfId="1" applyNumberFormat="1" applyFont="1" applyFill="1" applyBorder="1" applyAlignment="1">
      <alignment horizontal="center"/>
    </xf>
    <xf numFmtId="44" fontId="0" fillId="0" borderId="0" xfId="1" applyFont="1" applyAlignment="1">
      <alignment horizontal="center" vertical="center"/>
    </xf>
    <xf numFmtId="0" fontId="45" fillId="0" borderId="0" xfId="0" applyFont="1" applyAlignment="1">
      <alignment horizontal="justify" vertical="center"/>
    </xf>
    <xf numFmtId="0" fontId="7" fillId="0" borderId="0" xfId="0" applyFont="1" applyAlignment="1">
      <alignment horizontal="center"/>
    </xf>
    <xf numFmtId="0" fontId="0" fillId="0" borderId="0" xfId="0" applyAlignment="1"/>
    <xf numFmtId="0" fontId="8" fillId="0" borderId="0" xfId="0" applyFont="1" applyAlignment="1">
      <alignment horizontal="justify"/>
    </xf>
    <xf numFmtId="0" fontId="45" fillId="0" borderId="0" xfId="0" applyFont="1" applyAlignment="1">
      <alignment vertical="center" wrapText="1"/>
    </xf>
    <xf numFmtId="0" fontId="0" fillId="0" borderId="0" xfId="0" applyAlignment="1">
      <alignment vertical="center"/>
    </xf>
    <xf numFmtId="0" fontId="45" fillId="0" borderId="0" xfId="0" applyFont="1" applyAlignment="1">
      <alignment vertical="center"/>
    </xf>
    <xf numFmtId="0" fontId="45" fillId="4" borderId="0" xfId="0" applyFont="1" applyFill="1" applyAlignment="1">
      <alignment vertical="center" wrapText="1"/>
    </xf>
    <xf numFmtId="0" fontId="45" fillId="0" borderId="0" xfId="0" applyFont="1" applyFill="1" applyAlignment="1">
      <alignment vertical="center" wrapText="1"/>
    </xf>
    <xf numFmtId="0" fontId="46" fillId="0" borderId="0" xfId="0" applyFont="1"/>
    <xf numFmtId="0" fontId="46" fillId="0" borderId="0" xfId="0" applyFont="1" applyAlignment="1">
      <alignment horizontal="center"/>
    </xf>
    <xf numFmtId="0" fontId="0" fillId="0" borderId="0" xfId="0" applyAlignment="1">
      <alignment horizontal="center" wrapText="1"/>
    </xf>
    <xf numFmtId="0" fontId="23" fillId="0" borderId="0" xfId="0" applyFont="1" applyAlignment="1">
      <alignment horizontal="center" vertical="center"/>
    </xf>
    <xf numFmtId="0" fontId="24" fillId="6" borderId="0" xfId="0" applyFont="1" applyFill="1" applyAlignment="1">
      <alignment horizontal="center"/>
    </xf>
    <xf numFmtId="0" fontId="4" fillId="5" borderId="13" xfId="0" applyFont="1" applyFill="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 xfId="0" applyFill="1" applyBorder="1" applyAlignment="1">
      <alignment horizontal="center"/>
    </xf>
    <xf numFmtId="0" fontId="4" fillId="2" borderId="0" xfId="0" applyFont="1" applyFill="1" applyAlignment="1">
      <alignment horizontal="center"/>
    </xf>
    <xf numFmtId="0" fontId="0" fillId="2" borderId="0" xfId="0" applyFill="1" applyAlignment="1">
      <alignment horizontal="center"/>
    </xf>
    <xf numFmtId="44" fontId="0" fillId="0" borderId="5" xfId="1" applyFont="1" applyBorder="1" applyAlignment="1">
      <alignment horizontal="center"/>
    </xf>
    <xf numFmtId="44" fontId="0" fillId="0" borderId="6" xfId="1" applyFon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44" fontId="0" fillId="0" borderId="10" xfId="1" applyFont="1" applyBorder="1" applyAlignment="1">
      <alignment horizontal="center"/>
    </xf>
    <xf numFmtId="44" fontId="0" fillId="0" borderId="11" xfId="1" applyFont="1" applyBorder="1" applyAlignment="1">
      <alignment horizontal="center"/>
    </xf>
    <xf numFmtId="44" fontId="0" fillId="0" borderId="12" xfId="1" applyFont="1" applyBorder="1" applyAlignment="1">
      <alignment horizontal="center"/>
    </xf>
    <xf numFmtId="0" fontId="20" fillId="0" borderId="37" xfId="0" applyFont="1" applyBorder="1" applyAlignment="1">
      <alignment horizontal="center" vertical="center" textRotation="90"/>
    </xf>
    <xf numFmtId="0" fontId="20" fillId="0" borderId="38" xfId="0" applyFont="1" applyBorder="1" applyAlignment="1">
      <alignment horizontal="center" vertical="center" textRotation="90"/>
    </xf>
    <xf numFmtId="0" fontId="0" fillId="10" borderId="0" xfId="0" applyFill="1" applyBorder="1" applyAlignment="1">
      <alignment horizontal="center"/>
    </xf>
    <xf numFmtId="0" fontId="0" fillId="10" borderId="22" xfId="0" applyFill="1" applyBorder="1" applyAlignment="1">
      <alignment horizontal="center"/>
    </xf>
    <xf numFmtId="0" fontId="40" fillId="12" borderId="0" xfId="0" applyFont="1" applyFill="1" applyAlignment="1">
      <alignment horizontal="center"/>
    </xf>
    <xf numFmtId="0" fontId="40" fillId="12" borderId="45" xfId="0" applyFont="1" applyFill="1" applyBorder="1" applyAlignment="1">
      <alignment horizontal="center"/>
    </xf>
    <xf numFmtId="0" fontId="0" fillId="16" borderId="0" xfId="0" applyFill="1" applyAlignment="1">
      <alignment horizontal="center"/>
    </xf>
    <xf numFmtId="0" fontId="23" fillId="0" borderId="0" xfId="0" applyFont="1" applyAlignment="1">
      <alignment horizontal="center" vertical="center" wrapText="1"/>
    </xf>
    <xf numFmtId="0" fontId="40" fillId="5" borderId="0" xfId="0" applyFont="1" applyFill="1" applyAlignment="1">
      <alignment horizontal="center"/>
    </xf>
    <xf numFmtId="0" fontId="40" fillId="5" borderId="45" xfId="0" applyFont="1" applyFill="1" applyBorder="1" applyAlignment="1">
      <alignment horizontal="center"/>
    </xf>
    <xf numFmtId="0" fontId="20" fillId="0" borderId="37" xfId="0" applyFont="1" applyBorder="1" applyAlignment="1">
      <alignment horizontal="center" textRotation="90"/>
    </xf>
    <xf numFmtId="0" fontId="0" fillId="0" borderId="0" xfId="0" applyBorder="1" applyAlignment="1">
      <alignment horizontal="center" textRotation="90"/>
    </xf>
    <xf numFmtId="0" fontId="4" fillId="14" borderId="32" xfId="0" applyFont="1" applyFill="1" applyBorder="1" applyAlignment="1">
      <alignment horizontal="center" wrapText="1"/>
    </xf>
    <xf numFmtId="0" fontId="4" fillId="14" borderId="41" xfId="0" applyFont="1" applyFill="1" applyBorder="1" applyAlignment="1">
      <alignment horizontal="center" wrapText="1"/>
    </xf>
    <xf numFmtId="0" fontId="40" fillId="12" borderId="25" xfId="0" applyFont="1" applyFill="1" applyBorder="1" applyAlignment="1">
      <alignment horizontal="center"/>
    </xf>
    <xf numFmtId="0" fontId="40" fillId="12" borderId="0" xfId="0" applyFont="1" applyFill="1" applyBorder="1" applyAlignment="1">
      <alignment horizontal="center"/>
    </xf>
    <xf numFmtId="0" fontId="40" fillId="12" borderId="32" xfId="0" applyFont="1" applyFill="1" applyBorder="1" applyAlignment="1">
      <alignment horizontal="center"/>
    </xf>
    <xf numFmtId="0" fontId="40" fillId="11" borderId="25" xfId="0" applyFont="1" applyFill="1" applyBorder="1" applyAlignment="1">
      <alignment horizontal="center"/>
    </xf>
    <xf numFmtId="0" fontId="40" fillId="11" borderId="0" xfId="0" applyFont="1" applyFill="1" applyBorder="1" applyAlignment="1">
      <alignment horizontal="center"/>
    </xf>
    <xf numFmtId="0" fontId="40" fillId="11" borderId="32" xfId="0" applyFont="1" applyFill="1" applyBorder="1" applyAlignment="1">
      <alignment horizontal="center"/>
    </xf>
    <xf numFmtId="0" fontId="4" fillId="0" borderId="36" xfId="0" applyFont="1" applyBorder="1" applyAlignment="1">
      <alignment horizontal="center" textRotation="90"/>
    </xf>
    <xf numFmtId="0" fontId="4" fillId="0" borderId="37" xfId="0" applyFont="1" applyBorder="1" applyAlignment="1">
      <alignment horizontal="center" textRotation="90"/>
    </xf>
    <xf numFmtId="0" fontId="4" fillId="0" borderId="38" xfId="0" applyFont="1" applyBorder="1" applyAlignment="1">
      <alignment horizontal="center" textRotation="90"/>
    </xf>
    <xf numFmtId="0" fontId="4" fillId="0" borderId="0" xfId="0" applyFont="1" applyBorder="1" applyAlignment="1">
      <alignment horizontal="center" textRotation="90"/>
    </xf>
    <xf numFmtId="0" fontId="4" fillId="13" borderId="32" xfId="0" applyFont="1" applyFill="1" applyBorder="1" applyAlignment="1">
      <alignment horizontal="center" wrapText="1"/>
    </xf>
    <xf numFmtId="0" fontId="4" fillId="13" borderId="41" xfId="0" applyFont="1" applyFill="1" applyBorder="1" applyAlignment="1">
      <alignment horizontal="center" wrapText="1"/>
    </xf>
    <xf numFmtId="0" fontId="40" fillId="11" borderId="0" xfId="0" applyFont="1" applyFill="1" applyAlignment="1">
      <alignment horizontal="center"/>
    </xf>
    <xf numFmtId="0" fontId="40" fillId="11" borderId="45" xfId="0" applyFont="1" applyFill="1" applyBorder="1" applyAlignment="1">
      <alignment horizontal="center"/>
    </xf>
    <xf numFmtId="0" fontId="40" fillId="11" borderId="23" xfId="0" applyFont="1" applyFill="1" applyBorder="1" applyAlignment="1">
      <alignment horizontal="center"/>
    </xf>
    <xf numFmtId="0" fontId="40" fillId="11" borderId="24" xfId="0" applyFont="1" applyFill="1" applyBorder="1" applyAlignment="1">
      <alignment horizontal="center"/>
    </xf>
    <xf numFmtId="0" fontId="40" fillId="12" borderId="28" xfId="0" applyFont="1" applyFill="1" applyBorder="1" applyAlignment="1">
      <alignment horizontal="center"/>
    </xf>
    <xf numFmtId="0" fontId="40" fillId="12" borderId="29" xfId="0" applyFont="1" applyFill="1" applyBorder="1" applyAlignment="1">
      <alignment horizontal="center"/>
    </xf>
    <xf numFmtId="0" fontId="40" fillId="12" borderId="30" xfId="0" applyFont="1" applyFill="1" applyBorder="1" applyAlignment="1">
      <alignment horizontal="center"/>
    </xf>
    <xf numFmtId="0" fontId="24" fillId="15" borderId="0" xfId="0" applyFont="1" applyFill="1" applyAlignment="1">
      <alignment horizontal="center"/>
    </xf>
    <xf numFmtId="14" fontId="0" fillId="0" borderId="16" xfId="0" applyNumberFormat="1" applyFont="1" applyBorder="1" applyAlignment="1">
      <alignment horizontal="left"/>
    </xf>
    <xf numFmtId="0" fontId="22" fillId="4" borderId="0" xfId="0" applyFont="1" applyFill="1" applyAlignment="1">
      <alignment horizontal="center"/>
    </xf>
    <xf numFmtId="0" fontId="7" fillId="5" borderId="2" xfId="0" applyFont="1" applyFill="1" applyBorder="1" applyAlignment="1">
      <alignment horizontal="right"/>
    </xf>
    <xf numFmtId="44" fontId="4" fillId="10" borderId="43" xfId="1" applyFont="1" applyFill="1" applyBorder="1" applyAlignment="1">
      <alignment horizontal="center" wrapText="1"/>
    </xf>
    <xf numFmtId="44" fontId="4" fillId="10" borderId="0" xfId="1" applyFont="1" applyFill="1" applyBorder="1" applyAlignment="1">
      <alignment horizontal="center" wrapText="1"/>
    </xf>
    <xf numFmtId="44" fontId="2" fillId="5" borderId="43" xfId="1" applyFont="1" applyFill="1" applyBorder="1" applyAlignment="1">
      <alignment horizontal="center" wrapText="1"/>
    </xf>
    <xf numFmtId="44" fontId="2" fillId="5" borderId="0" xfId="1" applyFont="1" applyFill="1" applyBorder="1" applyAlignment="1">
      <alignment horizontal="center" wrapText="1"/>
    </xf>
    <xf numFmtId="0" fontId="4" fillId="0" borderId="0" xfId="0" applyFont="1" applyAlignment="1">
      <alignment horizontal="center"/>
    </xf>
    <xf numFmtId="44" fontId="2" fillId="12" borderId="43" xfId="1" applyFont="1" applyFill="1" applyBorder="1" applyAlignment="1">
      <alignment horizontal="center" wrapText="1"/>
    </xf>
    <xf numFmtId="44" fontId="2" fillId="12" borderId="0" xfId="1" applyFont="1" applyFill="1" applyBorder="1" applyAlignment="1">
      <alignment horizontal="center" wrapText="1"/>
    </xf>
    <xf numFmtId="0" fontId="42" fillId="12" borderId="2" xfId="0" applyFont="1" applyFill="1" applyBorder="1" applyAlignment="1">
      <alignment horizontal="right"/>
    </xf>
    <xf numFmtId="44" fontId="2" fillId="11" borderId="43" xfId="1" applyFont="1" applyFill="1" applyBorder="1" applyAlignment="1">
      <alignment horizontal="center" wrapText="1"/>
    </xf>
    <xf numFmtId="44" fontId="2" fillId="11" borderId="0" xfId="1" applyFont="1" applyFill="1" applyBorder="1" applyAlignment="1">
      <alignment horizontal="center" wrapText="1"/>
    </xf>
    <xf numFmtId="0" fontId="42" fillId="11" borderId="2" xfId="0" applyFont="1" applyFill="1" applyBorder="1" applyAlignment="1">
      <alignment horizontal="right"/>
    </xf>
    <xf numFmtId="0" fontId="40" fillId="17" borderId="0" xfId="0" applyFont="1" applyFill="1" applyAlignment="1">
      <alignment horizontal="center"/>
    </xf>
    <xf numFmtId="44" fontId="2" fillId="17" borderId="43" xfId="1" applyFont="1" applyFill="1" applyBorder="1" applyAlignment="1">
      <alignment horizontal="center" wrapText="1"/>
    </xf>
    <xf numFmtId="44" fontId="2" fillId="17" borderId="0" xfId="1" applyFont="1" applyFill="1" applyBorder="1" applyAlignment="1">
      <alignment horizontal="center" wrapText="1"/>
    </xf>
    <xf numFmtId="0" fontId="42" fillId="17" borderId="2" xfId="0" applyFont="1" applyFill="1" applyBorder="1" applyAlignment="1">
      <alignment horizontal="right"/>
    </xf>
    <xf numFmtId="0" fontId="22" fillId="0" borderId="0" xfId="0" applyFont="1" applyAlignment="1">
      <alignment horizontal="center" vertical="center" wrapText="1"/>
    </xf>
    <xf numFmtId="14" fontId="0" fillId="0" borderId="0" xfId="1" applyNumberFormat="1" applyFont="1" applyAlignment="1">
      <alignment horizontal="right"/>
    </xf>
    <xf numFmtId="0" fontId="29" fillId="0" borderId="19" xfId="0" applyFont="1" applyBorder="1" applyAlignment="1">
      <alignment horizontal="center"/>
    </xf>
    <xf numFmtId="0" fontId="29" fillId="0" borderId="18" xfId="0" applyFont="1" applyBorder="1" applyAlignment="1">
      <alignment horizontal="center"/>
    </xf>
    <xf numFmtId="0" fontId="9" fillId="5" borderId="0" xfId="0" applyFont="1" applyFill="1" applyAlignment="1">
      <alignment horizontal="center"/>
    </xf>
    <xf numFmtId="0" fontId="29" fillId="0" borderId="20" xfId="0" applyFont="1" applyBorder="1" applyAlignment="1">
      <alignment horizontal="center"/>
    </xf>
    <xf numFmtId="0" fontId="7" fillId="4" borderId="0" xfId="0" applyFont="1" applyFill="1" applyAlignment="1">
      <alignment horizontal="right" vertical="center"/>
    </xf>
    <xf numFmtId="44" fontId="7" fillId="4" borderId="16" xfId="1" applyFont="1" applyFill="1" applyBorder="1" applyAlignment="1">
      <alignment horizontal="center" vertical="center"/>
    </xf>
    <xf numFmtId="44" fontId="7" fillId="4" borderId="0" xfId="1" applyFont="1" applyFill="1" applyBorder="1" applyAlignment="1">
      <alignment horizontal="center" vertical="center"/>
    </xf>
    <xf numFmtId="9" fontId="6" fillId="4" borderId="21" xfId="2" applyFont="1" applyFill="1" applyBorder="1" applyAlignment="1">
      <alignment horizontal="center" vertical="center"/>
    </xf>
    <xf numFmtId="9" fontId="6" fillId="4" borderId="3" xfId="2" applyFont="1" applyFill="1" applyBorder="1" applyAlignment="1">
      <alignment horizontal="center" vertical="center"/>
    </xf>
    <xf numFmtId="167" fontId="0" fillId="0" borderId="0" xfId="0" applyNumberFormat="1" applyAlignment="1">
      <alignment horizontal="center"/>
    </xf>
    <xf numFmtId="44" fontId="0" fillId="0" borderId="0" xfId="0" applyNumberFormat="1" applyAlignment="1">
      <alignment horizontal="center"/>
    </xf>
    <xf numFmtId="0" fontId="2" fillId="12" borderId="0" xfId="0" applyFont="1" applyFill="1" applyAlignment="1">
      <alignment horizontal="center"/>
    </xf>
    <xf numFmtId="0" fontId="2" fillId="12" borderId="0" xfId="0" applyFont="1" applyFill="1" applyAlignment="1">
      <alignment horizontal="center"/>
    </xf>
    <xf numFmtId="0" fontId="4" fillId="5" borderId="0" xfId="0" applyFont="1" applyFill="1" applyAlignment="1">
      <alignment horizontal="center"/>
    </xf>
    <xf numFmtId="0" fontId="4" fillId="5" borderId="0" xfId="0" applyFont="1" applyFill="1" applyAlignment="1">
      <alignment horizontal="center"/>
    </xf>
    <xf numFmtId="0" fontId="2" fillId="18" borderId="0" xfId="0" applyFont="1" applyFill="1" applyAlignment="1">
      <alignment horizontal="center"/>
    </xf>
    <xf numFmtId="0" fontId="2" fillId="18" borderId="0" xfId="0" applyFont="1" applyFill="1" applyAlignment="1">
      <alignment horizontal="center"/>
    </xf>
    <xf numFmtId="44" fontId="4" fillId="5" borderId="0" xfId="1" applyFont="1" applyFill="1" applyAlignment="1">
      <alignment horizontal="center"/>
    </xf>
    <xf numFmtId="44" fontId="2" fillId="12" borderId="0" xfId="1" applyFont="1" applyFill="1" applyAlignment="1">
      <alignment horizontal="center"/>
    </xf>
    <xf numFmtId="44" fontId="2" fillId="18" borderId="0" xfId="1" applyFont="1" applyFill="1" applyAlignment="1">
      <alignment horizontal="center"/>
    </xf>
    <xf numFmtId="44" fontId="5" fillId="18" borderId="0" xfId="1" applyFont="1" applyFill="1"/>
    <xf numFmtId="44" fontId="0" fillId="5" borderId="0" xfId="1" applyFont="1" applyFill="1"/>
    <xf numFmtId="9" fontId="2" fillId="11" borderId="2" xfId="1" applyNumberFormat="1" applyFont="1" applyFill="1" applyBorder="1" applyAlignment="1">
      <alignment horizontal="center"/>
    </xf>
    <xf numFmtId="9" fontId="43" fillId="12" borderId="2" xfId="1" applyNumberFormat="1" applyFont="1" applyFill="1" applyBorder="1" applyAlignment="1">
      <alignment horizontal="center"/>
    </xf>
    <xf numFmtId="0" fontId="7" fillId="5" borderId="2" xfId="0" applyFont="1" applyFill="1" applyBorder="1" applyAlignment="1"/>
    <xf numFmtId="0" fontId="16" fillId="5" borderId="2" xfId="0" applyFont="1" applyFill="1" applyBorder="1" applyAlignment="1">
      <alignment horizontal="center"/>
    </xf>
    <xf numFmtId="0" fontId="16" fillId="8" borderId="0" xfId="0" applyFont="1" applyFill="1" applyBorder="1" applyAlignment="1">
      <alignment horizontal="center"/>
    </xf>
  </cellXfs>
  <cellStyles count="3">
    <cellStyle name="Monétaire" xfId="1" builtinId="4"/>
    <cellStyle name="Normal" xfId="0" builtinId="0"/>
    <cellStyle name="Pourcentage" xfId="2" builtinId="5"/>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755970</xdr:colOff>
      <xdr:row>4</xdr:row>
      <xdr:rowOff>115900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0"/>
          <a:ext cx="755970" cy="877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xdr:col>
      <xdr:colOff>508320</xdr:colOff>
      <xdr:row>2</xdr:row>
      <xdr:rowOff>49225</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575"/>
          <a:ext cx="755970" cy="877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9526</xdr:colOff>
      <xdr:row>0</xdr:row>
      <xdr:rowOff>38100</xdr:rowOff>
    </xdr:from>
    <xdr:to>
      <xdr:col>1</xdr:col>
      <xdr:colOff>520965</xdr:colOff>
      <xdr:row>2</xdr:row>
      <xdr:rowOff>9525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6" y="38100"/>
          <a:ext cx="844814" cy="981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1</xdr:col>
      <xdr:colOff>631295</xdr:colOff>
      <xdr:row>2</xdr:row>
      <xdr:rowOff>19050</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49" y="19050"/>
          <a:ext cx="869421" cy="1009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19049</xdr:colOff>
      <xdr:row>0</xdr:row>
      <xdr:rowOff>38099</xdr:rowOff>
    </xdr:from>
    <xdr:to>
      <xdr:col>3</xdr:col>
      <xdr:colOff>639499</xdr:colOff>
      <xdr:row>2</xdr:row>
      <xdr:rowOff>9525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49" y="38099"/>
          <a:ext cx="877625" cy="10191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3</xdr:col>
      <xdr:colOff>628651</xdr:colOff>
      <xdr:row>3</xdr:row>
      <xdr:rowOff>15387</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38099"/>
          <a:ext cx="866776" cy="10536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3</xdr:col>
      <xdr:colOff>628651</xdr:colOff>
      <xdr:row>3</xdr:row>
      <xdr:rowOff>1</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38100"/>
          <a:ext cx="866776" cy="10382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3</xdr:col>
      <xdr:colOff>628651</xdr:colOff>
      <xdr:row>3</xdr:row>
      <xdr:rowOff>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38100"/>
          <a:ext cx="866776" cy="10382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498795</xdr:colOff>
      <xdr:row>3</xdr:row>
      <xdr:rowOff>1600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5970" cy="877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
  <sheetViews>
    <sheetView topLeftCell="B1" workbookViewId="0">
      <selection activeCell="D20" sqref="D20"/>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U70"/>
  <sheetViews>
    <sheetView topLeftCell="A43" workbookViewId="0">
      <selection activeCell="F69" sqref="F69"/>
    </sheetView>
  </sheetViews>
  <sheetFormatPr baseColWidth="10" defaultRowHeight="15" x14ac:dyDescent="0.25"/>
  <cols>
    <col min="1" max="2" width="1.85546875" customWidth="1"/>
    <col min="3" max="3" width="43.85546875" customWidth="1"/>
    <col min="4" max="4" width="11.42578125" customWidth="1"/>
    <col min="5" max="5" width="11.28515625" style="3" customWidth="1"/>
    <col min="6" max="6" width="11" customWidth="1"/>
    <col min="7" max="7" width="11.28515625" customWidth="1"/>
    <col min="8" max="9" width="11.140625" customWidth="1"/>
    <col min="10" max="10" width="11" customWidth="1"/>
    <col min="11" max="11" width="11.140625" customWidth="1"/>
    <col min="12" max="12" width="11.28515625" customWidth="1"/>
    <col min="13" max="15" width="10.28515625" customWidth="1"/>
    <col min="16" max="16" width="8.5703125" customWidth="1"/>
    <col min="17" max="17" width="9.42578125" customWidth="1"/>
    <col min="18" max="21" width="10.28515625" customWidth="1"/>
  </cols>
  <sheetData>
    <row r="1" spans="1:21" ht="41.25" customHeight="1" x14ac:dyDescent="0.25">
      <c r="A1" s="270" t="str">
        <f>NOTES!A1</f>
        <v>PROJET NOVATEUR (APPEL DE PROPOSITIONS 2017): 
CISSS/BSL UNE VOIE PARTAGÉE / ADOLESCENTS - VICTIMES</v>
      </c>
      <c r="B1" s="270"/>
      <c r="C1" s="270"/>
      <c r="D1" s="270"/>
      <c r="E1" s="270"/>
      <c r="F1" s="270"/>
      <c r="G1" s="270"/>
      <c r="H1" s="270"/>
      <c r="I1" s="270"/>
      <c r="J1" s="270"/>
      <c r="K1" s="270"/>
      <c r="L1" s="270"/>
      <c r="M1" s="270"/>
      <c r="N1" s="270"/>
      <c r="O1" s="270"/>
      <c r="P1" s="270"/>
      <c r="Q1" s="270"/>
      <c r="R1" s="270"/>
      <c r="S1" s="270"/>
      <c r="T1" s="270"/>
      <c r="U1" s="270"/>
    </row>
    <row r="2" spans="1:21" ht="26.25" x14ac:dyDescent="0.4">
      <c r="A2" s="271" t="s">
        <v>45</v>
      </c>
      <c r="B2" s="271"/>
      <c r="C2" s="271"/>
      <c r="D2" s="271"/>
      <c r="E2" s="271"/>
      <c r="F2" s="271"/>
      <c r="G2" s="271"/>
      <c r="H2" s="271"/>
      <c r="I2" s="271"/>
      <c r="J2" s="271"/>
      <c r="K2" s="271"/>
      <c r="L2" s="271"/>
      <c r="M2" s="271"/>
      <c r="N2" s="271"/>
      <c r="O2" s="271"/>
      <c r="P2" s="271"/>
      <c r="Q2" s="271"/>
      <c r="R2" s="271"/>
      <c r="S2" s="271"/>
      <c r="T2" s="271"/>
      <c r="U2" s="271"/>
    </row>
    <row r="3" spans="1:21" ht="4.5" customHeight="1" thickBot="1" x14ac:dyDescent="0.3"/>
    <row r="4" spans="1:21" ht="15.75" thickBot="1" x14ac:dyDescent="0.3">
      <c r="B4" s="15" t="s">
        <v>29</v>
      </c>
      <c r="D4" s="280">
        <v>50000</v>
      </c>
      <c r="E4" s="281"/>
      <c r="F4" s="281"/>
      <c r="G4" s="281"/>
      <c r="H4" s="281"/>
      <c r="I4" s="282"/>
      <c r="J4" s="283">
        <v>50000</v>
      </c>
      <c r="K4" s="283"/>
      <c r="L4" s="283"/>
      <c r="M4" s="283"/>
      <c r="N4" s="283"/>
      <c r="O4" s="283"/>
      <c r="P4" s="284">
        <v>50000</v>
      </c>
      <c r="Q4" s="285"/>
      <c r="R4" s="285"/>
      <c r="S4" s="285"/>
      <c r="T4" s="285"/>
      <c r="U4" s="286"/>
    </row>
    <row r="5" spans="1:21" ht="15.75" thickBot="1" x14ac:dyDescent="0.3">
      <c r="D5" s="272" t="s">
        <v>7</v>
      </c>
      <c r="E5" s="273"/>
      <c r="F5" s="273"/>
      <c r="G5" s="273"/>
      <c r="H5" s="273"/>
      <c r="I5" s="274"/>
      <c r="J5" s="275" t="s">
        <v>18</v>
      </c>
      <c r="K5" s="276"/>
      <c r="L5" s="276"/>
      <c r="M5" s="276"/>
      <c r="N5" s="276"/>
      <c r="O5" s="277"/>
      <c r="P5" s="278" t="s">
        <v>19</v>
      </c>
      <c r="Q5" s="279"/>
      <c r="R5" s="279"/>
      <c r="S5" s="279"/>
      <c r="T5" s="279"/>
      <c r="U5" s="279"/>
    </row>
    <row r="6" spans="1:21" s="15" customFormat="1" ht="30" x14ac:dyDescent="0.25">
      <c r="B6" s="59" t="s">
        <v>22</v>
      </c>
      <c r="C6" s="59"/>
      <c r="D6" s="62" t="s">
        <v>3</v>
      </c>
      <c r="E6" s="63" t="s">
        <v>26</v>
      </c>
      <c r="F6" s="62" t="s">
        <v>4</v>
      </c>
      <c r="G6" s="63" t="s">
        <v>23</v>
      </c>
      <c r="H6" s="63" t="s">
        <v>24</v>
      </c>
      <c r="I6" s="64" t="s">
        <v>27</v>
      </c>
      <c r="J6" s="70" t="s">
        <v>3</v>
      </c>
      <c r="K6" s="63" t="s">
        <v>26</v>
      </c>
      <c r="L6" s="62" t="s">
        <v>4</v>
      </c>
      <c r="M6" s="63" t="s">
        <v>23</v>
      </c>
      <c r="N6" s="63" t="s">
        <v>24</v>
      </c>
      <c r="O6" s="64" t="s">
        <v>27</v>
      </c>
      <c r="P6" s="48" t="s">
        <v>3</v>
      </c>
      <c r="Q6" s="60" t="s">
        <v>26</v>
      </c>
      <c r="R6" s="48" t="s">
        <v>4</v>
      </c>
      <c r="S6" s="60" t="s">
        <v>23</v>
      </c>
      <c r="T6" s="60" t="s">
        <v>24</v>
      </c>
      <c r="U6" s="60" t="s">
        <v>27</v>
      </c>
    </row>
    <row r="7" spans="1:21" x14ac:dyDescent="0.25">
      <c r="C7" t="s">
        <v>82</v>
      </c>
      <c r="D7" s="65">
        <v>45.6</v>
      </c>
      <c r="E7" s="66">
        <v>7</v>
      </c>
      <c r="F7" s="65">
        <f>E7*D7</f>
        <v>319.2</v>
      </c>
      <c r="G7" s="67"/>
      <c r="H7" s="67">
        <v>0</v>
      </c>
      <c r="I7" s="69">
        <f>D7+G7+H7</f>
        <v>45.6</v>
      </c>
      <c r="J7" s="65">
        <f>D7*(1+N7)</f>
        <v>46.512</v>
      </c>
      <c r="K7" s="66">
        <f>E7</f>
        <v>7</v>
      </c>
      <c r="L7" s="65">
        <f>K7*J7</f>
        <v>325.584</v>
      </c>
      <c r="M7" s="67"/>
      <c r="N7" s="72">
        <v>0.02</v>
      </c>
      <c r="O7" s="69">
        <f>J7+M7</f>
        <v>46.512</v>
      </c>
      <c r="P7" s="65">
        <f>J7*(1+T7)</f>
        <v>47.442239999999998</v>
      </c>
      <c r="Q7" s="66">
        <f>E7</f>
        <v>7</v>
      </c>
      <c r="R7" s="65">
        <f>Q7*P7</f>
        <v>332.09568000000002</v>
      </c>
      <c r="T7" s="61">
        <v>0.02</v>
      </c>
      <c r="U7" s="69">
        <f>P7+S7</f>
        <v>47.442239999999998</v>
      </c>
    </row>
    <row r="8" spans="1:21" x14ac:dyDescent="0.25">
      <c r="C8" t="s">
        <v>46</v>
      </c>
      <c r="D8" s="65">
        <v>51.37</v>
      </c>
      <c r="E8" s="66">
        <v>7</v>
      </c>
      <c r="F8" s="65">
        <f>E8*D8</f>
        <v>359.59</v>
      </c>
      <c r="G8" s="68"/>
      <c r="H8" s="67">
        <v>0</v>
      </c>
      <c r="I8" s="69">
        <f>D8+G8+H8</f>
        <v>51.37</v>
      </c>
      <c r="J8" s="71">
        <f>D8*(1+N8)</f>
        <v>52.397399999999998</v>
      </c>
      <c r="K8" s="66">
        <f>E8</f>
        <v>7</v>
      </c>
      <c r="L8" s="65">
        <f>K8*J8</f>
        <v>366.78179999999998</v>
      </c>
      <c r="M8" s="68"/>
      <c r="N8" s="72">
        <v>0.02</v>
      </c>
      <c r="O8" s="69">
        <f>J8+M8</f>
        <v>52.397399999999998</v>
      </c>
      <c r="P8" s="1">
        <f>J8*(1+T8)*(1+T8)</f>
        <v>54.514254959999995</v>
      </c>
      <c r="Q8" s="66">
        <f t="shared" ref="Q8:Q10" si="0">E8</f>
        <v>7</v>
      </c>
      <c r="R8" s="65">
        <f>Q8*P8</f>
        <v>381.59978471999995</v>
      </c>
      <c r="S8" s="4"/>
      <c r="T8" s="61">
        <v>0.02</v>
      </c>
      <c r="U8" s="4">
        <f>P8+S8+T8</f>
        <v>54.534254959999998</v>
      </c>
    </row>
    <row r="9" spans="1:21" x14ac:dyDescent="0.25">
      <c r="C9" t="s">
        <v>47</v>
      </c>
      <c r="D9" s="65">
        <v>33</v>
      </c>
      <c r="E9" s="139">
        <v>7</v>
      </c>
      <c r="F9" s="65">
        <f>D9*E9</f>
        <v>231</v>
      </c>
      <c r="G9" s="67"/>
      <c r="H9" s="67">
        <v>0</v>
      </c>
      <c r="I9" s="69">
        <f t="shared" ref="I9:I10" si="1">D9+G9+H9</f>
        <v>33</v>
      </c>
      <c r="J9" s="65">
        <f t="shared" ref="J9:J10" si="2">D9*(1+N9)</f>
        <v>33.660000000000004</v>
      </c>
      <c r="K9" s="66">
        <f t="shared" ref="K9:K10" si="3">E9</f>
        <v>7</v>
      </c>
      <c r="L9" s="65">
        <f t="shared" ref="L9:L10" si="4">K9*J9</f>
        <v>235.62000000000003</v>
      </c>
      <c r="M9" s="67"/>
      <c r="N9" s="72">
        <v>0.02</v>
      </c>
      <c r="O9" s="69">
        <f t="shared" ref="O9:O10" si="5">J9+M9</f>
        <v>33.660000000000004</v>
      </c>
      <c r="P9" s="65">
        <f t="shared" ref="P9:P10" si="6">J9*(1+T9)</f>
        <v>34.333200000000005</v>
      </c>
      <c r="Q9" s="66">
        <f t="shared" si="0"/>
        <v>7</v>
      </c>
      <c r="R9" s="65">
        <f t="shared" ref="R9:R10" si="7">Q9*P9</f>
        <v>240.33240000000004</v>
      </c>
      <c r="T9" s="61">
        <v>0.02</v>
      </c>
      <c r="U9" s="69">
        <f t="shared" ref="U9:U10" si="8">P9+S9</f>
        <v>34.333200000000005</v>
      </c>
    </row>
    <row r="10" spans="1:21" x14ac:dyDescent="0.25">
      <c r="C10" t="s">
        <v>48</v>
      </c>
      <c r="D10" s="65">
        <v>29.38</v>
      </c>
      <c r="E10" s="66">
        <v>7</v>
      </c>
      <c r="F10" s="68">
        <f>E10*D10</f>
        <v>205.66</v>
      </c>
      <c r="G10" s="67"/>
      <c r="H10" s="67">
        <v>0</v>
      </c>
      <c r="I10" s="69">
        <f t="shared" si="1"/>
        <v>29.38</v>
      </c>
      <c r="J10" s="65">
        <f t="shared" si="2"/>
        <v>29.967600000000001</v>
      </c>
      <c r="K10" s="66">
        <f t="shared" si="3"/>
        <v>7</v>
      </c>
      <c r="L10" s="65">
        <f t="shared" si="4"/>
        <v>209.7732</v>
      </c>
      <c r="M10" s="67"/>
      <c r="N10" s="72">
        <v>0.02</v>
      </c>
      <c r="O10" s="69">
        <f t="shared" si="5"/>
        <v>29.967600000000001</v>
      </c>
      <c r="P10" s="65">
        <f t="shared" si="6"/>
        <v>30.566952000000001</v>
      </c>
      <c r="Q10" s="66">
        <f t="shared" si="0"/>
        <v>7</v>
      </c>
      <c r="R10" s="65">
        <f t="shared" si="7"/>
        <v>213.96866399999999</v>
      </c>
      <c r="T10" s="61">
        <v>0.02</v>
      </c>
      <c r="U10" s="69">
        <f t="shared" si="8"/>
        <v>30.566952000000001</v>
      </c>
    </row>
    <row r="11" spans="1:21" x14ac:dyDescent="0.25">
      <c r="C11" t="s">
        <v>49</v>
      </c>
      <c r="D11" s="65">
        <v>40</v>
      </c>
      <c r="E11" s="66">
        <v>7</v>
      </c>
      <c r="F11" s="68">
        <f>E11*D11</f>
        <v>280</v>
      </c>
      <c r="G11" s="67"/>
      <c r="H11" s="67">
        <v>0</v>
      </c>
      <c r="I11" s="69">
        <f t="shared" ref="I11" si="9">D11+G11+H11</f>
        <v>40</v>
      </c>
      <c r="J11" s="65">
        <f t="shared" ref="J11:J12" si="10">D11*(1+N11)</f>
        <v>40.799999999999997</v>
      </c>
      <c r="K11" s="66">
        <f t="shared" ref="K11" si="11">E11</f>
        <v>7</v>
      </c>
      <c r="L11" s="65">
        <f t="shared" ref="L11:L12" si="12">K11*J11</f>
        <v>285.59999999999997</v>
      </c>
      <c r="M11" s="67"/>
      <c r="N11" s="72">
        <v>0.02</v>
      </c>
      <c r="O11" s="69">
        <f t="shared" ref="O11:O12" si="13">J11+M11</f>
        <v>40.799999999999997</v>
      </c>
      <c r="P11" s="65">
        <f t="shared" ref="P11:P12" si="14">J11*(1+T11)</f>
        <v>41.616</v>
      </c>
      <c r="Q11" s="66">
        <f t="shared" ref="Q11" si="15">E11</f>
        <v>7</v>
      </c>
      <c r="R11" s="65">
        <f t="shared" ref="R11:R12" si="16">Q11*P11</f>
        <v>291.31200000000001</v>
      </c>
      <c r="T11" s="61">
        <v>0.02</v>
      </c>
      <c r="U11" s="69">
        <f t="shared" ref="U11:U12" si="17">P11+S11</f>
        <v>41.616</v>
      </c>
    </row>
    <row r="12" spans="1:21" x14ac:dyDescent="0.25">
      <c r="C12" t="s">
        <v>110</v>
      </c>
      <c r="D12" s="4">
        <f>D8*1.1</f>
        <v>56.507000000000005</v>
      </c>
      <c r="E12" s="151">
        <v>7</v>
      </c>
      <c r="F12" s="68">
        <f>E12*D12</f>
        <v>395.54900000000004</v>
      </c>
      <c r="G12" s="67"/>
      <c r="H12" s="67">
        <v>0</v>
      </c>
      <c r="I12" s="69">
        <f t="shared" ref="I12" si="18">D12+G12+H12</f>
        <v>56.507000000000005</v>
      </c>
      <c r="J12" s="65">
        <f t="shared" si="10"/>
        <v>57.637140000000009</v>
      </c>
      <c r="K12" s="66">
        <v>7</v>
      </c>
      <c r="L12" s="65">
        <f t="shared" si="12"/>
        <v>403.45998000000009</v>
      </c>
      <c r="M12" s="67"/>
      <c r="N12" s="72">
        <v>0.02</v>
      </c>
      <c r="O12" s="69">
        <f t="shared" si="13"/>
        <v>57.637140000000009</v>
      </c>
      <c r="P12" s="65">
        <f t="shared" si="14"/>
        <v>58.789882800000008</v>
      </c>
      <c r="Q12" s="66">
        <v>7</v>
      </c>
      <c r="R12" s="65">
        <f t="shared" si="16"/>
        <v>411.52917960000008</v>
      </c>
      <c r="T12" s="61">
        <v>0.02</v>
      </c>
      <c r="U12" s="69">
        <f t="shared" si="17"/>
        <v>58.789882800000008</v>
      </c>
    </row>
    <row r="13" spans="1:21" x14ac:dyDescent="0.25">
      <c r="C13" t="s">
        <v>58</v>
      </c>
      <c r="D13" s="65"/>
      <c r="E13" s="66"/>
      <c r="F13" s="68">
        <v>50</v>
      </c>
      <c r="G13" s="67"/>
      <c r="H13" s="67"/>
      <c r="I13" s="68"/>
      <c r="J13" s="65"/>
      <c r="K13" s="66"/>
      <c r="L13" s="65">
        <v>50</v>
      </c>
      <c r="M13" s="67"/>
      <c r="N13" s="72"/>
      <c r="O13" s="68"/>
      <c r="P13" s="65"/>
      <c r="Q13" s="66"/>
      <c r="R13" s="65">
        <v>50</v>
      </c>
      <c r="T13" s="61"/>
      <c r="U13" s="68"/>
    </row>
    <row r="14" spans="1:21" x14ac:dyDescent="0.25">
      <c r="D14" s="65"/>
      <c r="E14" s="66"/>
      <c r="F14" s="68"/>
      <c r="G14" s="67"/>
      <c r="H14" s="67"/>
      <c r="I14" s="68"/>
      <c r="J14" s="65"/>
      <c r="K14" s="66"/>
      <c r="L14" s="65"/>
      <c r="M14" s="67"/>
      <c r="N14" s="72"/>
      <c r="O14" s="68"/>
      <c r="P14" s="65"/>
      <c r="Q14" s="66"/>
      <c r="R14" s="65"/>
      <c r="T14" s="61"/>
      <c r="U14" s="68"/>
    </row>
    <row r="15" spans="1:21" x14ac:dyDescent="0.25">
      <c r="D15" s="65"/>
      <c r="E15" s="66"/>
      <c r="F15" s="68"/>
      <c r="G15" s="67"/>
      <c r="H15" s="67"/>
      <c r="I15" s="68"/>
      <c r="J15" s="65"/>
      <c r="K15" s="66"/>
      <c r="L15" s="65"/>
      <c r="M15" s="67"/>
      <c r="N15" s="72"/>
      <c r="O15" s="68"/>
      <c r="P15" s="65"/>
      <c r="Q15" s="66"/>
      <c r="R15" s="65"/>
      <c r="T15" s="61"/>
      <c r="U15" s="68"/>
    </row>
    <row r="16" spans="1:21" x14ac:dyDescent="0.25">
      <c r="H16" t="e">
        <f>F16*'HYPOTHÈSE $'!U</f>
        <v>#NAME?</v>
      </c>
      <c r="J16" s="4"/>
    </row>
    <row r="17" spans="2:12" x14ac:dyDescent="0.25">
      <c r="B17" s="59" t="s">
        <v>25</v>
      </c>
      <c r="D17" s="7" t="s">
        <v>11</v>
      </c>
      <c r="E17" s="123" t="s">
        <v>32</v>
      </c>
      <c r="F17" s="3" t="s">
        <v>36</v>
      </c>
      <c r="G17" s="3" t="s">
        <v>37</v>
      </c>
      <c r="H17" s="3" t="s">
        <v>38</v>
      </c>
      <c r="L17" s="78"/>
    </row>
    <row r="18" spans="2:12" x14ac:dyDescent="0.25">
      <c r="D18" s="1"/>
      <c r="E18" s="6"/>
      <c r="F18">
        <v>1.05</v>
      </c>
      <c r="G18">
        <v>1.09975</v>
      </c>
      <c r="H18">
        <f>G18*F18</f>
        <v>1.1547375</v>
      </c>
    </row>
    <row r="19" spans="2:12" x14ac:dyDescent="0.25">
      <c r="B19" t="s">
        <v>125</v>
      </c>
      <c r="D19" s="1">
        <v>355</v>
      </c>
    </row>
    <row r="20" spans="2:12" x14ac:dyDescent="0.25">
      <c r="D20" s="1"/>
      <c r="E20" s="6"/>
    </row>
    <row r="21" spans="2:12" x14ac:dyDescent="0.25">
      <c r="D21" s="1"/>
      <c r="E21" s="6"/>
    </row>
    <row r="23" spans="2:12" x14ac:dyDescent="0.25">
      <c r="B23" s="15" t="s">
        <v>111</v>
      </c>
      <c r="D23" s="7" t="s">
        <v>11</v>
      </c>
    </row>
    <row r="24" spans="2:12" x14ac:dyDescent="0.25">
      <c r="B24" t="s">
        <v>123</v>
      </c>
      <c r="D24" s="1">
        <v>700</v>
      </c>
    </row>
    <row r="25" spans="2:12" x14ac:dyDescent="0.25">
      <c r="B25" t="s">
        <v>126</v>
      </c>
      <c r="D25" s="1">
        <v>1000</v>
      </c>
      <c r="E25" s="6"/>
    </row>
    <row r="26" spans="2:12" x14ac:dyDescent="0.25">
      <c r="E26" s="1"/>
    </row>
    <row r="27" spans="2:12" x14ac:dyDescent="0.25">
      <c r="E27" s="1"/>
    </row>
    <row r="28" spans="2:12" x14ac:dyDescent="0.25">
      <c r="B28" s="15" t="s">
        <v>17</v>
      </c>
      <c r="D28" s="7" t="s">
        <v>11</v>
      </c>
    </row>
    <row r="29" spans="2:12" x14ac:dyDescent="0.25">
      <c r="B29" s="15"/>
      <c r="C29" t="s">
        <v>50</v>
      </c>
      <c r="D29" s="140">
        <v>0.45500000000000002</v>
      </c>
    </row>
    <row r="30" spans="2:12" x14ac:dyDescent="0.25">
      <c r="C30" t="s">
        <v>51</v>
      </c>
      <c r="D30" s="1">
        <v>0.43</v>
      </c>
    </row>
    <row r="31" spans="2:12" x14ac:dyDescent="0.25">
      <c r="C31" t="s">
        <v>83</v>
      </c>
      <c r="D31" s="1">
        <v>17</v>
      </c>
    </row>
    <row r="32" spans="2:12" x14ac:dyDescent="0.25">
      <c r="C32" t="s">
        <v>84</v>
      </c>
      <c r="D32" s="1">
        <v>14.3</v>
      </c>
      <c r="F32" s="4"/>
    </row>
    <row r="34" spans="1:8" x14ac:dyDescent="0.25">
      <c r="A34" s="15" t="s">
        <v>162</v>
      </c>
    </row>
    <row r="35" spans="1:8" x14ac:dyDescent="0.25">
      <c r="B35" s="267" t="s">
        <v>163</v>
      </c>
      <c r="D35" s="268" t="s">
        <v>164</v>
      </c>
      <c r="E35" s="269" t="s">
        <v>174</v>
      </c>
      <c r="F35" s="4"/>
      <c r="G35" s="351"/>
    </row>
    <row r="36" spans="1:8" x14ac:dyDescent="0.25">
      <c r="C36" t="s">
        <v>166</v>
      </c>
      <c r="D36">
        <v>308</v>
      </c>
      <c r="E36" s="350">
        <f>$D$29*D36</f>
        <v>140.14000000000001</v>
      </c>
    </row>
    <row r="37" spans="1:8" x14ac:dyDescent="0.25">
      <c r="C37" t="s">
        <v>167</v>
      </c>
      <c r="D37">
        <v>64</v>
      </c>
      <c r="E37" s="350">
        <f t="shared" ref="E37:E41" si="19">$D$29*D37</f>
        <v>29.12</v>
      </c>
      <c r="F37" s="4"/>
    </row>
    <row r="38" spans="1:8" x14ac:dyDescent="0.25">
      <c r="C38" t="s">
        <v>168</v>
      </c>
      <c r="D38">
        <v>188</v>
      </c>
      <c r="E38" s="350">
        <f t="shared" si="19"/>
        <v>85.54</v>
      </c>
      <c r="F38" s="4"/>
      <c r="G38" s="4"/>
    </row>
    <row r="39" spans="1:8" x14ac:dyDescent="0.25">
      <c r="C39" t="s">
        <v>169</v>
      </c>
      <c r="D39">
        <v>139</v>
      </c>
      <c r="E39" s="350">
        <f t="shared" si="19"/>
        <v>63.245000000000005</v>
      </c>
      <c r="F39" s="4"/>
      <c r="G39" s="1"/>
      <c r="H39" s="4"/>
    </row>
    <row r="40" spans="1:8" x14ac:dyDescent="0.25">
      <c r="C40" t="s">
        <v>170</v>
      </c>
      <c r="D40">
        <v>37</v>
      </c>
      <c r="E40" s="350">
        <f t="shared" si="19"/>
        <v>16.835000000000001</v>
      </c>
      <c r="F40" s="4"/>
      <c r="G40" s="1"/>
    </row>
    <row r="41" spans="1:8" x14ac:dyDescent="0.25">
      <c r="C41" t="s">
        <v>199</v>
      </c>
      <c r="D41">
        <v>560</v>
      </c>
      <c r="E41" s="350">
        <f t="shared" si="19"/>
        <v>254.8</v>
      </c>
      <c r="F41" s="4"/>
      <c r="G41" s="1"/>
    </row>
    <row r="42" spans="1:8" x14ac:dyDescent="0.25">
      <c r="A42" s="15" t="s">
        <v>165</v>
      </c>
      <c r="D42" s="142"/>
      <c r="G42" s="4"/>
    </row>
    <row r="43" spans="1:8" x14ac:dyDescent="0.25">
      <c r="B43" s="267" t="s">
        <v>163</v>
      </c>
      <c r="D43" s="268" t="s">
        <v>164</v>
      </c>
      <c r="G43" s="4"/>
    </row>
    <row r="44" spans="1:8" x14ac:dyDescent="0.25">
      <c r="C44" t="s">
        <v>159</v>
      </c>
    </row>
    <row r="45" spans="1:8" x14ac:dyDescent="0.25">
      <c r="C45" t="s">
        <v>171</v>
      </c>
      <c r="D45">
        <v>200</v>
      </c>
      <c r="E45" s="351">
        <f>D45*$D$30</f>
        <v>86</v>
      </c>
    </row>
    <row r="46" spans="1:8" x14ac:dyDescent="0.25">
      <c r="C46" t="s">
        <v>172</v>
      </c>
      <c r="D46">
        <v>210</v>
      </c>
      <c r="E46" s="351">
        <f>D46*$D$30</f>
        <v>90.3</v>
      </c>
    </row>
    <row r="47" spans="1:8" x14ac:dyDescent="0.25">
      <c r="C47" t="s">
        <v>198</v>
      </c>
      <c r="D47">
        <v>154</v>
      </c>
      <c r="E47" s="351">
        <f>D47*$D$30</f>
        <v>66.22</v>
      </c>
    </row>
    <row r="48" spans="1:8" x14ac:dyDescent="0.25">
      <c r="A48" s="15" t="s">
        <v>173</v>
      </c>
      <c r="D48" s="142"/>
      <c r="E48" s="351"/>
    </row>
    <row r="49" spans="1:16" x14ac:dyDescent="0.25">
      <c r="B49" s="267" t="s">
        <v>163</v>
      </c>
      <c r="D49" s="268" t="s">
        <v>164</v>
      </c>
      <c r="E49" s="351"/>
    </row>
    <row r="50" spans="1:16" x14ac:dyDescent="0.25">
      <c r="C50" t="s">
        <v>160</v>
      </c>
      <c r="D50">
        <v>215</v>
      </c>
      <c r="E50" s="351">
        <f>D50*$D$30</f>
        <v>92.45</v>
      </c>
    </row>
    <row r="51" spans="1:16" x14ac:dyDescent="0.25">
      <c r="B51" s="15"/>
      <c r="C51" t="s">
        <v>161</v>
      </c>
      <c r="D51">
        <v>62</v>
      </c>
      <c r="E51" s="351">
        <f>D51*$D$30</f>
        <v>26.66</v>
      </c>
    </row>
    <row r="52" spans="1:16" x14ac:dyDescent="0.25">
      <c r="B52" s="15"/>
      <c r="C52" t="s">
        <v>198</v>
      </c>
      <c r="D52">
        <v>110</v>
      </c>
      <c r="E52" s="351">
        <f>D52*$D$30</f>
        <v>47.3</v>
      </c>
    </row>
    <row r="53" spans="1:16" x14ac:dyDescent="0.25">
      <c r="D53" s="142"/>
    </row>
    <row r="54" spans="1:16" x14ac:dyDescent="0.25">
      <c r="D54" s="354" t="s">
        <v>7</v>
      </c>
      <c r="E54" s="354"/>
      <c r="F54" s="354"/>
      <c r="G54" s="352" t="s">
        <v>18</v>
      </c>
      <c r="H54" s="352"/>
      <c r="I54" s="352"/>
      <c r="J54" s="356" t="s">
        <v>19</v>
      </c>
      <c r="K54" s="356"/>
      <c r="L54" s="356"/>
    </row>
    <row r="55" spans="1:16" x14ac:dyDescent="0.25">
      <c r="A55" t="s">
        <v>175</v>
      </c>
      <c r="D55" s="355" t="s">
        <v>176</v>
      </c>
      <c r="E55" s="355" t="s">
        <v>66</v>
      </c>
      <c r="F55" s="355" t="s">
        <v>67</v>
      </c>
      <c r="G55" s="353" t="s">
        <v>176</v>
      </c>
      <c r="H55" s="353" t="s">
        <v>66</v>
      </c>
      <c r="I55" s="353" t="s">
        <v>67</v>
      </c>
      <c r="J55" s="357" t="s">
        <v>176</v>
      </c>
      <c r="K55" s="357" t="s">
        <v>66</v>
      </c>
      <c r="L55" s="357" t="s">
        <v>67</v>
      </c>
    </row>
    <row r="56" spans="1:16" x14ac:dyDescent="0.25">
      <c r="B56" t="s">
        <v>0</v>
      </c>
      <c r="D56" s="1">
        <v>776.75</v>
      </c>
      <c r="G56" s="1">
        <v>776.75</v>
      </c>
      <c r="H56" s="1"/>
      <c r="I56" s="1"/>
      <c r="J56" s="1">
        <v>776.75</v>
      </c>
      <c r="K56" s="1"/>
      <c r="L56" s="1"/>
      <c r="M56" s="1"/>
      <c r="N56" s="1"/>
      <c r="O56" s="1"/>
      <c r="P56" s="1"/>
    </row>
    <row r="57" spans="1:16" x14ac:dyDescent="0.25">
      <c r="B57" t="s">
        <v>59</v>
      </c>
      <c r="D57" s="1">
        <v>290.16000000000003</v>
      </c>
      <c r="E57" s="1">
        <v>281.36</v>
      </c>
      <c r="F57" s="1">
        <v>270.48</v>
      </c>
      <c r="G57" s="1">
        <v>145.08000000000001</v>
      </c>
      <c r="H57" s="1">
        <v>144.08000000000001</v>
      </c>
      <c r="I57" s="1">
        <v>138.68</v>
      </c>
      <c r="J57" s="1">
        <v>145.08000000000001</v>
      </c>
      <c r="K57" s="1">
        <v>142.08000000000001</v>
      </c>
      <c r="L57" s="1">
        <v>138.68</v>
      </c>
      <c r="M57" s="1"/>
      <c r="N57" s="1"/>
      <c r="O57" s="1"/>
      <c r="P57" s="1"/>
    </row>
    <row r="58" spans="1:16" x14ac:dyDescent="0.25">
      <c r="B58" t="s">
        <v>177</v>
      </c>
      <c r="D58" s="1">
        <v>1421.42</v>
      </c>
      <c r="E58" s="1">
        <v>416.16</v>
      </c>
      <c r="F58" s="1">
        <v>384.88</v>
      </c>
      <c r="G58" s="1">
        <v>1421.42</v>
      </c>
      <c r="H58" s="1">
        <v>424.16</v>
      </c>
      <c r="I58" s="1">
        <v>384.88</v>
      </c>
      <c r="J58" s="1">
        <v>1421.42</v>
      </c>
      <c r="K58" s="1">
        <v>412.16</v>
      </c>
      <c r="L58" s="1">
        <v>384.88</v>
      </c>
      <c r="M58" s="1"/>
      <c r="N58" s="1"/>
      <c r="O58" s="1"/>
      <c r="P58" s="1"/>
    </row>
    <row r="59" spans="1:16" x14ac:dyDescent="0.25">
      <c r="B59" t="s">
        <v>178</v>
      </c>
      <c r="D59" s="1"/>
      <c r="E59" s="1"/>
      <c r="F59" s="1">
        <v>208</v>
      </c>
      <c r="G59" s="1"/>
      <c r="H59" s="1"/>
      <c r="I59" s="1">
        <v>208</v>
      </c>
      <c r="J59" s="1"/>
      <c r="K59" s="1"/>
      <c r="L59" s="1">
        <v>208</v>
      </c>
      <c r="M59" s="1"/>
      <c r="N59" s="1"/>
      <c r="O59" s="1"/>
      <c r="P59" s="1"/>
    </row>
    <row r="60" spans="1:16" x14ac:dyDescent="0.25">
      <c r="B60" t="s">
        <v>179</v>
      </c>
      <c r="D60" s="1"/>
      <c r="E60" s="1"/>
      <c r="F60" s="1">
        <v>112</v>
      </c>
      <c r="G60" s="1"/>
      <c r="H60" s="1"/>
      <c r="I60" s="1"/>
      <c r="J60" s="1"/>
      <c r="K60" s="1"/>
      <c r="L60" s="1"/>
      <c r="M60" s="1"/>
      <c r="N60" s="1"/>
      <c r="O60" s="1"/>
      <c r="P60" s="1"/>
    </row>
    <row r="61" spans="1:16" x14ac:dyDescent="0.25">
      <c r="B61" t="s">
        <v>180</v>
      </c>
      <c r="D61" s="1">
        <f>709.8+14.3</f>
        <v>724.09999999999991</v>
      </c>
      <c r="E61" s="1">
        <v>212.08</v>
      </c>
      <c r="F61" s="1">
        <v>192.44</v>
      </c>
      <c r="G61" s="1">
        <f>(709.8/7)+14.3</f>
        <v>115.69999999999999</v>
      </c>
      <c r="H61" s="1">
        <f>E61/3</f>
        <v>70.693333333333342</v>
      </c>
      <c r="I61" s="1">
        <f>F61/3</f>
        <v>64.146666666666661</v>
      </c>
      <c r="J61" s="1">
        <f>G61</f>
        <v>115.69999999999999</v>
      </c>
      <c r="K61" s="1">
        <f t="shared" ref="K61:L61" si="20">H61</f>
        <v>70.693333333333342</v>
      </c>
      <c r="L61" s="1">
        <f t="shared" si="20"/>
        <v>64.146666666666661</v>
      </c>
      <c r="M61" s="1"/>
      <c r="N61" s="1"/>
      <c r="O61" s="1"/>
      <c r="P61" s="1"/>
    </row>
    <row r="62" spans="1:16" x14ac:dyDescent="0.25">
      <c r="B62" t="s">
        <v>181</v>
      </c>
      <c r="D62" s="1"/>
      <c r="E62" s="1"/>
      <c r="F62" s="1">
        <v>170</v>
      </c>
      <c r="G62" s="1"/>
      <c r="H62" s="1">
        <v>1324.4</v>
      </c>
      <c r="I62" s="1">
        <v>946</v>
      </c>
      <c r="J62" s="1"/>
      <c r="K62" s="1">
        <v>1324.4</v>
      </c>
      <c r="L62" s="1">
        <v>946</v>
      </c>
      <c r="M62" s="1"/>
      <c r="N62" s="1"/>
      <c r="O62" s="1"/>
      <c r="P62" s="1"/>
    </row>
    <row r="63" spans="1:16" x14ac:dyDescent="0.25">
      <c r="B63" t="s">
        <v>182</v>
      </c>
      <c r="D63" s="1"/>
      <c r="E63" s="1"/>
      <c r="F63" s="1">
        <v>170</v>
      </c>
      <c r="G63" s="1"/>
      <c r="H63" s="1">
        <v>1414.74</v>
      </c>
      <c r="I63" s="1">
        <v>458.4</v>
      </c>
      <c r="J63" s="1"/>
      <c r="K63" s="1">
        <v>1397.74</v>
      </c>
      <c r="L63" s="1">
        <v>458.4</v>
      </c>
      <c r="M63" s="1"/>
      <c r="N63" s="1"/>
      <c r="O63" s="1"/>
      <c r="P63" s="1"/>
    </row>
    <row r="64" spans="1:16" x14ac:dyDescent="0.25">
      <c r="B64" t="s">
        <v>183</v>
      </c>
      <c r="D64" s="1"/>
      <c r="E64" s="1"/>
      <c r="F64" s="1">
        <v>400</v>
      </c>
      <c r="G64" s="1"/>
      <c r="H64" s="1">
        <v>2445.6</v>
      </c>
      <c r="I64" s="1">
        <v>2406.6</v>
      </c>
      <c r="J64" s="1"/>
      <c r="K64" s="1">
        <v>2415.6</v>
      </c>
      <c r="L64" s="1">
        <v>2406.6</v>
      </c>
      <c r="M64" s="1"/>
      <c r="N64" s="1"/>
      <c r="O64" s="1"/>
      <c r="P64" s="1"/>
    </row>
    <row r="65" spans="2:16" x14ac:dyDescent="0.25">
      <c r="B65" t="s">
        <v>184</v>
      </c>
      <c r="D65" s="1"/>
      <c r="E65" s="1"/>
      <c r="F65" s="1">
        <v>409.8</v>
      </c>
      <c r="G65" s="1"/>
      <c r="H65" s="1">
        <v>1261.8</v>
      </c>
      <c r="I65" s="1"/>
      <c r="J65" s="1"/>
      <c r="K65" s="1">
        <v>1249.8</v>
      </c>
      <c r="L65" s="1"/>
      <c r="M65" s="1"/>
      <c r="N65" s="1"/>
      <c r="O65" s="1"/>
      <c r="P65" s="1"/>
    </row>
    <row r="66" spans="2:16" x14ac:dyDescent="0.25">
      <c r="D66" s="362">
        <f>SUM(D56:D65)</f>
        <v>3212.43</v>
      </c>
      <c r="E66" s="362">
        <f t="shared" ref="E66:L66" si="21">SUM(E56:E65)</f>
        <v>909.6</v>
      </c>
      <c r="F66" s="362">
        <f t="shared" si="21"/>
        <v>2317.6</v>
      </c>
      <c r="G66" s="249">
        <f t="shared" si="21"/>
        <v>2458.9499999999998</v>
      </c>
      <c r="H66" s="249">
        <f t="shared" si="21"/>
        <v>7085.4733333333343</v>
      </c>
      <c r="I66" s="249">
        <f t="shared" si="21"/>
        <v>4606.7066666666669</v>
      </c>
      <c r="J66" s="361">
        <f t="shared" si="21"/>
        <v>2458.9499999999998</v>
      </c>
      <c r="K66" s="361">
        <f t="shared" si="21"/>
        <v>7012.4733333333343</v>
      </c>
      <c r="L66" s="361">
        <f t="shared" si="21"/>
        <v>4606.7066666666669</v>
      </c>
      <c r="M66" s="1"/>
      <c r="N66" s="1"/>
      <c r="O66" s="1"/>
      <c r="P66" s="1"/>
    </row>
    <row r="67" spans="2:16" x14ac:dyDescent="0.25">
      <c r="D67" s="358">
        <f>SUM(D66:F66)</f>
        <v>6439.6299999999992</v>
      </c>
      <c r="E67" s="358"/>
      <c r="F67" s="358"/>
      <c r="G67" s="359">
        <f>SUM(G66:I66)</f>
        <v>14151.130000000001</v>
      </c>
      <c r="H67" s="359"/>
      <c r="I67" s="359"/>
      <c r="J67" s="360">
        <f>SUM(J66:L66)</f>
        <v>14078.130000000001</v>
      </c>
      <c r="K67" s="360"/>
      <c r="L67" s="360"/>
      <c r="M67" s="1"/>
      <c r="N67" s="1"/>
      <c r="O67" s="1"/>
      <c r="P67" s="1"/>
    </row>
    <row r="68" spans="2:16" x14ac:dyDescent="0.25">
      <c r="D68" s="1"/>
      <c r="E68" s="1"/>
      <c r="F68" s="1"/>
      <c r="G68" s="1"/>
      <c r="H68" s="1"/>
      <c r="I68" s="1"/>
      <c r="J68" s="1"/>
      <c r="K68" s="1"/>
      <c r="L68" s="1"/>
      <c r="M68" s="1"/>
      <c r="N68" s="1"/>
      <c r="O68" s="1"/>
      <c r="P68" s="1"/>
    </row>
    <row r="69" spans="2:16" x14ac:dyDescent="0.25">
      <c r="D69" s="1"/>
      <c r="E69" s="1"/>
      <c r="F69" s="1"/>
      <c r="G69" s="1"/>
      <c r="H69" s="1"/>
      <c r="I69" s="1"/>
      <c r="J69" s="1"/>
      <c r="K69" s="1"/>
      <c r="L69" s="1"/>
      <c r="M69" s="1"/>
      <c r="N69" s="1"/>
      <c r="O69" s="1"/>
      <c r="P69" s="1"/>
    </row>
    <row r="70" spans="2:16" x14ac:dyDescent="0.25">
      <c r="D70" s="1"/>
      <c r="E70" s="1"/>
      <c r="F70" s="1"/>
    </row>
  </sheetData>
  <mergeCells count="14">
    <mergeCell ref="D54:F54"/>
    <mergeCell ref="G54:I54"/>
    <mergeCell ref="J54:L54"/>
    <mergeCell ref="D67:F67"/>
    <mergeCell ref="G67:I67"/>
    <mergeCell ref="J67:L67"/>
    <mergeCell ref="A1:U1"/>
    <mergeCell ref="A2:U2"/>
    <mergeCell ref="D5:I5"/>
    <mergeCell ref="J5:O5"/>
    <mergeCell ref="P5:U5"/>
    <mergeCell ref="D4:I4"/>
    <mergeCell ref="J4:O4"/>
    <mergeCell ref="P4:U4"/>
  </mergeCells>
  <pageMargins left="0.25" right="0.25" top="0.75" bottom="0.75" header="0.3" footer="0.3"/>
  <pageSetup scale="6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J51"/>
  <sheetViews>
    <sheetView topLeftCell="A11" workbookViewId="0">
      <selection activeCell="B10" sqref="B10"/>
    </sheetView>
  </sheetViews>
  <sheetFormatPr baseColWidth="10" defaultRowHeight="15" x14ac:dyDescent="0.25"/>
  <cols>
    <col min="1" max="1" width="5" customWidth="1"/>
    <col min="2" max="2" width="29.42578125" customWidth="1"/>
    <col min="3" max="3" width="4.28515625" style="142" customWidth="1"/>
    <col min="4" max="15" width="4.7109375" style="3" customWidth="1"/>
    <col min="16" max="16" width="8.140625" customWidth="1"/>
    <col min="17" max="17" width="4.5703125" style="142" customWidth="1"/>
    <col min="18" max="18" width="4.85546875" customWidth="1"/>
    <col min="19" max="19" width="4.85546875" style="142" customWidth="1"/>
    <col min="20" max="20" width="4.7109375" customWidth="1"/>
    <col min="21" max="21" width="4.85546875" style="142" customWidth="1"/>
    <col min="22" max="22" width="4.7109375" customWidth="1"/>
    <col min="23" max="23" width="4.7109375" style="142" customWidth="1"/>
    <col min="24" max="24" width="4.7109375" customWidth="1"/>
    <col min="25" max="25" width="4.7109375" style="142" customWidth="1"/>
    <col min="26" max="26" width="4.5703125" customWidth="1"/>
    <col min="27" max="27" width="4.5703125" style="142" customWidth="1"/>
    <col min="28" max="28" width="4.5703125" customWidth="1"/>
    <col min="29" max="29" width="4.5703125" style="142" customWidth="1"/>
    <col min="30" max="30" width="4.5703125" customWidth="1"/>
    <col min="31" max="31" width="4.7109375" style="142" customWidth="1"/>
    <col min="32" max="32" width="4.7109375" customWidth="1"/>
    <col min="33" max="33" width="4.7109375" style="142" customWidth="1"/>
    <col min="34" max="34" width="4.7109375" customWidth="1"/>
    <col min="35" max="35" width="4.7109375" style="142" customWidth="1"/>
    <col min="36" max="36" width="8.28515625" style="142" customWidth="1"/>
  </cols>
  <sheetData>
    <row r="1" spans="1:36" ht="54.75" customHeight="1" x14ac:dyDescent="0.25">
      <c r="A1" s="294" t="str">
        <f>NOTES!A1</f>
        <v>PROJET NOVATEUR (APPEL DE PROPOSITIONS 2017): 
CISSS/BSL UNE VOIE PARTAGÉE / ADOLESCENTS - VICTIMES</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row>
    <row r="2" spans="1:36" ht="24.75" customHeight="1" thickBot="1" x14ac:dyDescent="0.3">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row>
    <row r="3" spans="1:36" ht="22.5" thickTop="1" thickBot="1" x14ac:dyDescent="0.4">
      <c r="A3" s="295" t="s">
        <v>116</v>
      </c>
      <c r="B3" s="296"/>
      <c r="C3" s="315" t="s">
        <v>95</v>
      </c>
      <c r="D3" s="316"/>
      <c r="E3" s="316"/>
      <c r="F3" s="316"/>
      <c r="G3" s="316"/>
      <c r="H3" s="316"/>
      <c r="I3" s="316"/>
      <c r="J3" s="316"/>
      <c r="K3" s="316"/>
      <c r="L3" s="316"/>
      <c r="M3" s="316"/>
      <c r="N3" s="316"/>
      <c r="O3" s="316"/>
      <c r="P3" s="316"/>
      <c r="Q3" s="317" t="s">
        <v>96</v>
      </c>
      <c r="R3" s="318"/>
      <c r="S3" s="318"/>
      <c r="T3" s="318"/>
      <c r="U3" s="318"/>
      <c r="V3" s="318"/>
      <c r="W3" s="318"/>
      <c r="X3" s="318"/>
      <c r="Y3" s="318"/>
      <c r="Z3" s="318"/>
      <c r="AA3" s="318"/>
      <c r="AB3" s="318"/>
      <c r="AC3" s="318"/>
      <c r="AD3" s="318"/>
      <c r="AE3" s="318"/>
      <c r="AF3" s="318"/>
      <c r="AG3" s="318"/>
      <c r="AH3" s="318"/>
      <c r="AI3" s="318"/>
      <c r="AJ3" s="319"/>
    </row>
    <row r="4" spans="1:36" ht="142.5" customHeight="1" x14ac:dyDescent="0.35">
      <c r="A4" s="307" t="s">
        <v>101</v>
      </c>
      <c r="B4" s="167" t="s">
        <v>69</v>
      </c>
      <c r="C4" s="164" t="s">
        <v>97</v>
      </c>
      <c r="D4" s="310" t="s">
        <v>59</v>
      </c>
      <c r="E4" s="310"/>
      <c r="F4" s="310" t="s">
        <v>60</v>
      </c>
      <c r="G4" s="310"/>
      <c r="H4" s="310" t="s">
        <v>61</v>
      </c>
      <c r="I4" s="310"/>
      <c r="J4" s="310" t="s">
        <v>62</v>
      </c>
      <c r="K4" s="310"/>
      <c r="L4" s="310" t="s">
        <v>63</v>
      </c>
      <c r="M4" s="310"/>
      <c r="N4" s="310" t="s">
        <v>64</v>
      </c>
      <c r="O4" s="310"/>
      <c r="P4" s="311" t="s">
        <v>103</v>
      </c>
      <c r="Q4" s="164" t="s">
        <v>97</v>
      </c>
      <c r="R4" s="298" t="s">
        <v>74</v>
      </c>
      <c r="S4" s="298"/>
      <c r="T4" s="298" t="s">
        <v>73</v>
      </c>
      <c r="U4" s="298"/>
      <c r="V4" s="298" t="s">
        <v>75</v>
      </c>
      <c r="W4" s="298"/>
      <c r="X4" s="298" t="s">
        <v>76</v>
      </c>
      <c r="Y4" s="298"/>
      <c r="Z4" s="298" t="s">
        <v>77</v>
      </c>
      <c r="AA4" s="298"/>
      <c r="AB4" s="298" t="s">
        <v>78</v>
      </c>
      <c r="AC4" s="298"/>
      <c r="AD4" s="298" t="s">
        <v>79</v>
      </c>
      <c r="AE4" s="298"/>
      <c r="AF4" s="298" t="s">
        <v>80</v>
      </c>
      <c r="AG4" s="298"/>
      <c r="AH4" s="298" t="s">
        <v>81</v>
      </c>
      <c r="AI4" s="298"/>
      <c r="AJ4" s="299" t="s">
        <v>103</v>
      </c>
    </row>
    <row r="5" spans="1:36" ht="15" customHeight="1" x14ac:dyDescent="0.25">
      <c r="A5" s="308"/>
      <c r="B5" s="67" t="s">
        <v>99</v>
      </c>
      <c r="C5" s="161" t="s">
        <v>10</v>
      </c>
      <c r="D5" s="289">
        <v>10</v>
      </c>
      <c r="E5" s="289"/>
      <c r="F5" s="289">
        <v>4</v>
      </c>
      <c r="G5" s="289"/>
      <c r="H5" s="289">
        <v>2</v>
      </c>
      <c r="I5" s="289"/>
      <c r="J5" s="289">
        <v>1</v>
      </c>
      <c r="K5" s="289"/>
      <c r="L5" s="289">
        <v>4</v>
      </c>
      <c r="M5" s="289"/>
      <c r="N5" s="289">
        <v>2</v>
      </c>
      <c r="O5" s="289"/>
      <c r="P5" s="311"/>
      <c r="Q5" s="170" t="s">
        <v>10</v>
      </c>
      <c r="R5" s="289">
        <v>10</v>
      </c>
      <c r="S5" s="289"/>
      <c r="T5" s="289">
        <v>14</v>
      </c>
      <c r="U5" s="289"/>
      <c r="V5" s="289">
        <v>27</v>
      </c>
      <c r="W5" s="289"/>
      <c r="X5" s="289">
        <v>17</v>
      </c>
      <c r="Y5" s="289"/>
      <c r="Z5" s="289">
        <v>1</v>
      </c>
      <c r="AA5" s="289"/>
      <c r="AB5" s="289">
        <v>5</v>
      </c>
      <c r="AC5" s="289"/>
      <c r="AD5" s="289">
        <v>4</v>
      </c>
      <c r="AE5" s="289"/>
      <c r="AF5" s="289">
        <v>5</v>
      </c>
      <c r="AG5" s="289"/>
      <c r="AH5" s="289">
        <v>5</v>
      </c>
      <c r="AI5" s="289"/>
      <c r="AJ5" s="299"/>
    </row>
    <row r="6" spans="1:36" ht="15" customHeight="1" thickBot="1" x14ac:dyDescent="0.3">
      <c r="A6" s="309"/>
      <c r="B6" s="168" t="s">
        <v>190</v>
      </c>
      <c r="C6" s="169" t="s">
        <v>10</v>
      </c>
      <c r="D6" s="290">
        <v>3</v>
      </c>
      <c r="E6" s="290"/>
      <c r="F6" s="290">
        <v>7</v>
      </c>
      <c r="G6" s="290"/>
      <c r="H6" s="290">
        <v>2</v>
      </c>
      <c r="I6" s="290"/>
      <c r="J6" s="290">
        <v>2</v>
      </c>
      <c r="K6" s="290"/>
      <c r="L6" s="290">
        <v>7</v>
      </c>
      <c r="M6" s="290"/>
      <c r="N6" s="290">
        <v>7</v>
      </c>
      <c r="O6" s="290"/>
      <c r="P6" s="312"/>
      <c r="Q6" s="171" t="s">
        <v>10</v>
      </c>
      <c r="R6" s="290">
        <v>3</v>
      </c>
      <c r="S6" s="290"/>
      <c r="T6" s="290">
        <v>3</v>
      </c>
      <c r="U6" s="290"/>
      <c r="V6" s="290">
        <v>3</v>
      </c>
      <c r="W6" s="290"/>
      <c r="X6" s="290">
        <v>3</v>
      </c>
      <c r="Y6" s="290"/>
      <c r="Z6" s="290">
        <v>12</v>
      </c>
      <c r="AA6" s="290"/>
      <c r="AB6" s="290">
        <v>12</v>
      </c>
      <c r="AC6" s="290"/>
      <c r="AD6" s="290">
        <v>6</v>
      </c>
      <c r="AE6" s="290"/>
      <c r="AF6" s="290">
        <v>3</v>
      </c>
      <c r="AG6" s="290"/>
      <c r="AH6" s="290">
        <v>3</v>
      </c>
      <c r="AI6" s="290"/>
      <c r="AJ6" s="300"/>
    </row>
    <row r="7" spans="1:36" x14ac:dyDescent="0.25">
      <c r="A7" s="165"/>
      <c r="B7" s="208" t="s">
        <v>100</v>
      </c>
      <c r="C7" s="161" t="s">
        <v>10</v>
      </c>
      <c r="D7" s="75" t="s">
        <v>33</v>
      </c>
      <c r="E7" s="75" t="s">
        <v>70</v>
      </c>
      <c r="F7" s="75" t="s">
        <v>33</v>
      </c>
      <c r="G7" s="75" t="s">
        <v>70</v>
      </c>
      <c r="H7" s="75" t="s">
        <v>33</v>
      </c>
      <c r="I7" s="75" t="s">
        <v>70</v>
      </c>
      <c r="J7" s="75" t="s">
        <v>33</v>
      </c>
      <c r="K7" s="75" t="s">
        <v>70</v>
      </c>
      <c r="L7" s="75" t="s">
        <v>33</v>
      </c>
      <c r="M7" s="75" t="s">
        <v>70</v>
      </c>
      <c r="N7" s="75" t="s">
        <v>33</v>
      </c>
      <c r="O7" s="75" t="s">
        <v>70</v>
      </c>
      <c r="P7" s="158" t="s">
        <v>102</v>
      </c>
      <c r="Q7" s="170" t="s">
        <v>10</v>
      </c>
      <c r="R7" s="75" t="s">
        <v>33</v>
      </c>
      <c r="S7" s="75" t="s">
        <v>70</v>
      </c>
      <c r="T7" s="75" t="s">
        <v>33</v>
      </c>
      <c r="U7" s="75" t="s">
        <v>70</v>
      </c>
      <c r="V7" s="75" t="s">
        <v>33</v>
      </c>
      <c r="W7" s="75" t="s">
        <v>70</v>
      </c>
      <c r="X7" s="75" t="s">
        <v>33</v>
      </c>
      <c r="Y7" s="75" t="s">
        <v>70</v>
      </c>
      <c r="Z7" s="75" t="s">
        <v>33</v>
      </c>
      <c r="AA7" s="75" t="s">
        <v>70</v>
      </c>
      <c r="AB7" s="75" t="s">
        <v>33</v>
      </c>
      <c r="AC7" s="75" t="s">
        <v>70</v>
      </c>
      <c r="AD7" s="75" t="s">
        <v>33</v>
      </c>
      <c r="AE7" s="75" t="s">
        <v>70</v>
      </c>
      <c r="AF7" s="75" t="s">
        <v>33</v>
      </c>
      <c r="AG7" s="75" t="s">
        <v>70</v>
      </c>
      <c r="AH7" s="75" t="s">
        <v>33</v>
      </c>
      <c r="AI7" s="75" t="s">
        <v>70</v>
      </c>
      <c r="AJ7" s="174" t="s">
        <v>102</v>
      </c>
    </row>
    <row r="8" spans="1:36" x14ac:dyDescent="0.25">
      <c r="A8" s="287" t="s">
        <v>66</v>
      </c>
      <c r="B8" s="141" t="s">
        <v>52</v>
      </c>
      <c r="C8" s="161">
        <v>1</v>
      </c>
      <c r="D8" s="152">
        <v>1</v>
      </c>
      <c r="E8" s="75">
        <f>$D$6*$D$5*D8*C8</f>
        <v>30</v>
      </c>
      <c r="F8" s="152">
        <v>1</v>
      </c>
      <c r="G8" s="75">
        <f>$F$5*$F$6*F8*C8</f>
        <v>28</v>
      </c>
      <c r="H8" s="152">
        <v>1</v>
      </c>
      <c r="I8" s="75">
        <f>$H$5*$H$6*H8*C8</f>
        <v>4</v>
      </c>
      <c r="J8" s="152">
        <v>1</v>
      </c>
      <c r="K8" s="75">
        <f>$J$5*$J$6*J8*C8</f>
        <v>2</v>
      </c>
      <c r="L8" s="152">
        <v>0</v>
      </c>
      <c r="M8" s="75">
        <f>$L$5*$L$6*L8*C8</f>
        <v>0</v>
      </c>
      <c r="N8" s="152">
        <v>1</v>
      </c>
      <c r="O8" s="75">
        <f>$N$5*$N$6*N8*C8</f>
        <v>14</v>
      </c>
      <c r="P8" s="159">
        <f>E8+G8+I8+K8+M8+O8</f>
        <v>78</v>
      </c>
      <c r="Q8" s="170"/>
      <c r="R8" s="152"/>
      <c r="S8" s="66"/>
      <c r="T8" s="155"/>
      <c r="U8" s="75"/>
      <c r="V8" s="155"/>
      <c r="W8" s="75"/>
      <c r="X8" s="155"/>
      <c r="Y8" s="75"/>
      <c r="Z8" s="155"/>
      <c r="AA8" s="75"/>
      <c r="AB8" s="155"/>
      <c r="AC8" s="75"/>
      <c r="AD8" s="155"/>
      <c r="AE8" s="75"/>
      <c r="AF8" s="155"/>
      <c r="AG8" s="75"/>
      <c r="AH8" s="155"/>
      <c r="AI8" s="75"/>
      <c r="AJ8" s="174">
        <f>S8+U8+W8+Y8+AA8+AC8+AE8+AG8+AI8</f>
        <v>0</v>
      </c>
    </row>
    <row r="9" spans="1:36" x14ac:dyDescent="0.25">
      <c r="A9" s="287"/>
      <c r="B9" s="141" t="s">
        <v>55</v>
      </c>
      <c r="C9" s="161">
        <v>3</v>
      </c>
      <c r="D9" s="152">
        <v>0</v>
      </c>
      <c r="E9" s="75">
        <f t="shared" ref="E9:E16" si="0">$D$6*$D$5*D9*C9</f>
        <v>0</v>
      </c>
      <c r="F9" s="152">
        <v>1</v>
      </c>
      <c r="G9" s="75">
        <f t="shared" ref="G9:G16" si="1">$F$5*$F$6*F9*C9</f>
        <v>84</v>
      </c>
      <c r="H9" s="152">
        <v>0</v>
      </c>
      <c r="I9" s="75">
        <f t="shared" ref="I9:I16" si="2">$H$5*$H$6*H9*C9</f>
        <v>0</v>
      </c>
      <c r="J9" s="152">
        <v>0</v>
      </c>
      <c r="K9" s="75">
        <f t="shared" ref="K9:K16" si="3">$J$5*$J$6*J9*C9</f>
        <v>0</v>
      </c>
      <c r="L9" s="152">
        <v>1</v>
      </c>
      <c r="M9" s="75">
        <f>($L$5*$L$6*L9*C9)/3</f>
        <v>28</v>
      </c>
      <c r="N9" s="152">
        <v>1</v>
      </c>
      <c r="O9" s="75">
        <f t="shared" ref="O9:O16" si="4">$N$5*$N$6*N9*C9</f>
        <v>42</v>
      </c>
      <c r="P9" s="159">
        <f t="shared" ref="P9:P15" si="5">E9+G9+I9+K9+M9+O9</f>
        <v>154</v>
      </c>
      <c r="Q9" s="170">
        <v>1</v>
      </c>
      <c r="R9" s="152">
        <v>1</v>
      </c>
      <c r="S9" s="75">
        <f>$R$5*$R$6*R9*Q9</f>
        <v>30</v>
      </c>
      <c r="T9" s="155"/>
      <c r="U9" s="75"/>
      <c r="V9" s="155">
        <v>1</v>
      </c>
      <c r="W9" s="75">
        <f>$V$5*$V$6*V9*Q9</f>
        <v>81</v>
      </c>
      <c r="X9" s="155"/>
      <c r="Y9" s="75"/>
      <c r="Z9" s="155">
        <v>1</v>
      </c>
      <c r="AA9" s="75">
        <f>Z9*Z5*Z6*Q9</f>
        <v>12</v>
      </c>
      <c r="AB9" s="155"/>
      <c r="AC9" s="75"/>
      <c r="AD9" s="155">
        <v>1</v>
      </c>
      <c r="AE9" s="75">
        <f>AD9*Q9*AD6*AD5</f>
        <v>24</v>
      </c>
      <c r="AF9" s="155">
        <v>1</v>
      </c>
      <c r="AG9" s="75">
        <f>AF9*AF6*AF5*Q9</f>
        <v>15</v>
      </c>
      <c r="AH9" s="155"/>
      <c r="AI9" s="75"/>
      <c r="AJ9" s="174">
        <f t="shared" ref="AJ9:AJ16" si="6">S9+U9+W9+Y9+AA9+AC9+AE9+AG9+AI9</f>
        <v>162</v>
      </c>
    </row>
    <row r="10" spans="1:36" x14ac:dyDescent="0.25">
      <c r="A10" s="297" t="s">
        <v>67</v>
      </c>
      <c r="B10" s="141" t="s">
        <v>53</v>
      </c>
      <c r="C10" s="161">
        <v>1</v>
      </c>
      <c r="D10" s="152">
        <v>1</v>
      </c>
      <c r="E10" s="75">
        <f t="shared" si="0"/>
        <v>30</v>
      </c>
      <c r="F10" s="152">
        <v>1</v>
      </c>
      <c r="G10" s="75">
        <f t="shared" si="1"/>
        <v>28</v>
      </c>
      <c r="H10" s="152">
        <v>1</v>
      </c>
      <c r="I10" s="75">
        <f t="shared" si="2"/>
        <v>4</v>
      </c>
      <c r="J10" s="152">
        <v>1</v>
      </c>
      <c r="K10" s="75">
        <f t="shared" si="3"/>
        <v>2</v>
      </c>
      <c r="L10" s="152">
        <v>0</v>
      </c>
      <c r="M10" s="75">
        <f t="shared" ref="M10:M16" si="7">$L$5*$L$6*L10*C10</f>
        <v>0</v>
      </c>
      <c r="N10" s="152">
        <v>1</v>
      </c>
      <c r="O10" s="75">
        <f t="shared" si="4"/>
        <v>14</v>
      </c>
      <c r="P10" s="159">
        <f t="shared" si="5"/>
        <v>78</v>
      </c>
      <c r="Q10" s="170">
        <v>1</v>
      </c>
      <c r="R10" s="152"/>
      <c r="S10" s="75"/>
      <c r="T10" s="155"/>
      <c r="U10" s="75"/>
      <c r="V10" s="155"/>
      <c r="W10" s="75"/>
      <c r="X10" s="155"/>
      <c r="Y10" s="75"/>
      <c r="Z10" s="155"/>
      <c r="AA10" s="75"/>
      <c r="AB10" s="155"/>
      <c r="AC10" s="75"/>
      <c r="AD10" s="155"/>
      <c r="AE10" s="75"/>
      <c r="AF10" s="155"/>
      <c r="AG10" s="75"/>
      <c r="AH10" s="155">
        <v>1</v>
      </c>
      <c r="AI10" s="75">
        <f>AH10*Q10*AH6*AH5</f>
        <v>15</v>
      </c>
      <c r="AJ10" s="174">
        <f t="shared" si="6"/>
        <v>15</v>
      </c>
    </row>
    <row r="11" spans="1:36" x14ac:dyDescent="0.25">
      <c r="A11" s="297"/>
      <c r="B11" s="141" t="s">
        <v>56</v>
      </c>
      <c r="C11" s="161">
        <v>3</v>
      </c>
      <c r="D11" s="152">
        <v>0</v>
      </c>
      <c r="E11" s="75">
        <f t="shared" si="0"/>
        <v>0</v>
      </c>
      <c r="F11" s="152">
        <v>1</v>
      </c>
      <c r="G11" s="75">
        <f t="shared" si="1"/>
        <v>84</v>
      </c>
      <c r="H11" s="152">
        <v>0</v>
      </c>
      <c r="I11" s="75">
        <f t="shared" si="2"/>
        <v>0</v>
      </c>
      <c r="J11" s="152">
        <v>0</v>
      </c>
      <c r="K11" s="75">
        <f t="shared" si="3"/>
        <v>0</v>
      </c>
      <c r="L11" s="152">
        <v>1</v>
      </c>
      <c r="M11" s="75">
        <f>($L$5*$L$6*L11*C11)/3</f>
        <v>28</v>
      </c>
      <c r="N11" s="152">
        <v>1</v>
      </c>
      <c r="O11" s="75">
        <f t="shared" si="4"/>
        <v>42</v>
      </c>
      <c r="P11" s="159">
        <f t="shared" si="5"/>
        <v>154</v>
      </c>
      <c r="Q11" s="170">
        <v>1</v>
      </c>
      <c r="R11" s="152"/>
      <c r="S11" s="75"/>
      <c r="T11" s="155">
        <v>1</v>
      </c>
      <c r="U11" s="75">
        <f>$T$5*$T$6*T11*Q11</f>
        <v>42</v>
      </c>
      <c r="V11" s="155"/>
      <c r="W11" s="75"/>
      <c r="X11" s="155">
        <v>1</v>
      </c>
      <c r="Y11" s="75">
        <f>$X$6*$X$5*Q11*X11</f>
        <v>51</v>
      </c>
      <c r="Z11" s="155"/>
      <c r="AA11" s="75"/>
      <c r="AB11" s="155">
        <v>1</v>
      </c>
      <c r="AC11" s="75">
        <f>AB11*Q11*AB6*AB5</f>
        <v>60</v>
      </c>
      <c r="AD11" s="155"/>
      <c r="AE11" s="75"/>
      <c r="AF11" s="155"/>
      <c r="AG11" s="75"/>
      <c r="AH11" s="155">
        <v>1</v>
      </c>
      <c r="AI11" s="75">
        <f>AH11*Q11*AH6*AH5</f>
        <v>15</v>
      </c>
      <c r="AJ11" s="174">
        <f t="shared" si="6"/>
        <v>168</v>
      </c>
    </row>
    <row r="12" spans="1:36" x14ac:dyDescent="0.25">
      <c r="A12" s="287" t="s">
        <v>68</v>
      </c>
      <c r="B12" s="141" t="s">
        <v>54</v>
      </c>
      <c r="C12" s="161">
        <v>1</v>
      </c>
      <c r="D12" s="152">
        <v>1</v>
      </c>
      <c r="E12" s="75">
        <f t="shared" si="0"/>
        <v>30</v>
      </c>
      <c r="F12" s="152">
        <v>1</v>
      </c>
      <c r="G12" s="75">
        <f t="shared" si="1"/>
        <v>28</v>
      </c>
      <c r="H12" s="152">
        <v>1</v>
      </c>
      <c r="I12" s="75">
        <f t="shared" si="2"/>
        <v>4</v>
      </c>
      <c r="J12" s="152">
        <v>1</v>
      </c>
      <c r="K12" s="75">
        <f t="shared" si="3"/>
        <v>2</v>
      </c>
      <c r="L12" s="152">
        <v>0</v>
      </c>
      <c r="M12" s="75">
        <f t="shared" si="7"/>
        <v>0</v>
      </c>
      <c r="N12" s="152">
        <v>1</v>
      </c>
      <c r="O12" s="75">
        <f t="shared" si="4"/>
        <v>14</v>
      </c>
      <c r="P12" s="159">
        <f t="shared" si="5"/>
        <v>78</v>
      </c>
      <c r="Q12" s="170"/>
      <c r="R12" s="152"/>
      <c r="S12" s="75"/>
      <c r="T12" s="155"/>
      <c r="U12" s="75"/>
      <c r="V12" s="155"/>
      <c r="W12" s="75"/>
      <c r="X12" s="155"/>
      <c r="Y12" s="75"/>
      <c r="Z12" s="155"/>
      <c r="AA12" s="75"/>
      <c r="AB12" s="155"/>
      <c r="AC12" s="75"/>
      <c r="AD12" s="155"/>
      <c r="AE12" s="75"/>
      <c r="AF12" s="155"/>
      <c r="AG12" s="75"/>
      <c r="AH12" s="155"/>
      <c r="AI12" s="75"/>
      <c r="AJ12" s="174">
        <f t="shared" si="6"/>
        <v>0</v>
      </c>
    </row>
    <row r="13" spans="1:36" x14ac:dyDescent="0.25">
      <c r="A13" s="287"/>
      <c r="B13" s="141" t="s">
        <v>72</v>
      </c>
      <c r="C13" s="161">
        <v>1</v>
      </c>
      <c r="D13" s="152">
        <v>0.5</v>
      </c>
      <c r="E13" s="75">
        <f t="shared" si="0"/>
        <v>15</v>
      </c>
      <c r="F13" s="152">
        <v>0</v>
      </c>
      <c r="G13" s="75">
        <f t="shared" si="1"/>
        <v>0</v>
      </c>
      <c r="H13" s="152">
        <v>0</v>
      </c>
      <c r="I13" s="75">
        <f t="shared" si="2"/>
        <v>0</v>
      </c>
      <c r="J13" s="152">
        <v>0</v>
      </c>
      <c r="K13" s="75">
        <f t="shared" si="3"/>
        <v>0</v>
      </c>
      <c r="L13" s="152">
        <v>0</v>
      </c>
      <c r="M13" s="75">
        <f t="shared" si="7"/>
        <v>0</v>
      </c>
      <c r="N13" s="152">
        <v>0</v>
      </c>
      <c r="O13" s="75">
        <f t="shared" si="4"/>
        <v>0</v>
      </c>
      <c r="P13" s="159">
        <f t="shared" si="5"/>
        <v>15</v>
      </c>
      <c r="Q13" s="170"/>
      <c r="R13" s="152"/>
      <c r="S13" s="75"/>
      <c r="T13" s="155"/>
      <c r="U13" s="75"/>
      <c r="V13" s="155"/>
      <c r="W13" s="75"/>
      <c r="X13" s="155"/>
      <c r="Y13" s="75"/>
      <c r="Z13" s="155"/>
      <c r="AA13" s="75"/>
      <c r="AB13" s="155"/>
      <c r="AC13" s="75"/>
      <c r="AD13" s="155"/>
      <c r="AE13" s="75"/>
      <c r="AF13" s="155"/>
      <c r="AG13" s="75"/>
      <c r="AH13" s="155"/>
      <c r="AI13" s="75"/>
      <c r="AJ13" s="174">
        <f t="shared" si="6"/>
        <v>0</v>
      </c>
    </row>
    <row r="14" spans="1:36" x14ac:dyDescent="0.25">
      <c r="A14" s="287"/>
      <c r="B14" s="141" t="s">
        <v>46</v>
      </c>
      <c r="C14" s="161">
        <v>7</v>
      </c>
      <c r="D14" s="152">
        <v>0</v>
      </c>
      <c r="E14" s="75">
        <f t="shared" si="0"/>
        <v>0</v>
      </c>
      <c r="F14" s="152">
        <v>1</v>
      </c>
      <c r="G14" s="75">
        <f t="shared" si="1"/>
        <v>196</v>
      </c>
      <c r="H14" s="152">
        <v>0</v>
      </c>
      <c r="I14" s="75">
        <f t="shared" si="2"/>
        <v>0</v>
      </c>
      <c r="J14" s="152">
        <v>0</v>
      </c>
      <c r="K14" s="75">
        <f t="shared" si="3"/>
        <v>0</v>
      </c>
      <c r="L14" s="152">
        <v>0</v>
      </c>
      <c r="M14" s="75">
        <f t="shared" si="7"/>
        <v>0</v>
      </c>
      <c r="N14" s="152">
        <v>1</v>
      </c>
      <c r="O14" s="75">
        <f t="shared" si="4"/>
        <v>98</v>
      </c>
      <c r="P14" s="159">
        <f t="shared" si="5"/>
        <v>294</v>
      </c>
      <c r="Q14" s="170">
        <v>1</v>
      </c>
      <c r="R14" s="152">
        <v>0</v>
      </c>
      <c r="S14" s="75">
        <f>$R$5*$R$6*R14*Q14</f>
        <v>0</v>
      </c>
      <c r="T14" s="155">
        <v>0</v>
      </c>
      <c r="U14" s="75">
        <f>$T$5*$T$6*T14*Q14</f>
        <v>0</v>
      </c>
      <c r="V14" s="155">
        <v>1</v>
      </c>
      <c r="W14" s="75">
        <f>$V$5*$V$6*V14*Q14</f>
        <v>81</v>
      </c>
      <c r="X14" s="155">
        <v>1</v>
      </c>
      <c r="Y14" s="75">
        <f>$X$6*$X$5*Q14*X14</f>
        <v>51</v>
      </c>
      <c r="Z14" s="155"/>
      <c r="AA14" s="75"/>
      <c r="AB14" s="155"/>
      <c r="AC14" s="75"/>
      <c r="AD14" s="155"/>
      <c r="AE14" s="75"/>
      <c r="AF14" s="155"/>
      <c r="AG14" s="75"/>
      <c r="AH14" s="155"/>
      <c r="AI14" s="75"/>
      <c r="AJ14" s="174">
        <f t="shared" si="6"/>
        <v>132</v>
      </c>
    </row>
    <row r="15" spans="1:36" x14ac:dyDescent="0.25">
      <c r="A15" s="287"/>
      <c r="B15" s="141" t="s">
        <v>57</v>
      </c>
      <c r="C15" s="161">
        <v>1</v>
      </c>
      <c r="D15" s="152">
        <v>1</v>
      </c>
      <c r="E15" s="75">
        <f t="shared" si="0"/>
        <v>30</v>
      </c>
      <c r="F15" s="152">
        <v>1</v>
      </c>
      <c r="G15" s="75">
        <f t="shared" si="1"/>
        <v>28</v>
      </c>
      <c r="H15" s="152">
        <v>0</v>
      </c>
      <c r="I15" s="75">
        <f t="shared" si="2"/>
        <v>0</v>
      </c>
      <c r="J15" s="152">
        <v>1</v>
      </c>
      <c r="K15" s="75">
        <f t="shared" si="3"/>
        <v>2</v>
      </c>
      <c r="L15" s="152">
        <v>1</v>
      </c>
      <c r="M15" s="75">
        <f t="shared" si="7"/>
        <v>28</v>
      </c>
      <c r="N15" s="152">
        <v>1</v>
      </c>
      <c r="O15" s="75">
        <f t="shared" si="4"/>
        <v>14</v>
      </c>
      <c r="P15" s="159">
        <f t="shared" si="5"/>
        <v>102</v>
      </c>
      <c r="Q15" s="170"/>
      <c r="R15" s="152"/>
      <c r="S15" s="75"/>
      <c r="T15" s="155"/>
      <c r="U15" s="75"/>
      <c r="V15" s="155"/>
      <c r="W15" s="75"/>
      <c r="X15" s="155"/>
      <c r="Y15" s="75"/>
      <c r="Z15" s="155"/>
      <c r="AA15" s="75"/>
      <c r="AB15" s="155"/>
      <c r="AC15" s="75"/>
      <c r="AD15" s="155"/>
      <c r="AE15" s="75"/>
      <c r="AF15" s="155"/>
      <c r="AG15" s="75"/>
      <c r="AH15" s="155"/>
      <c r="AI15" s="75"/>
      <c r="AJ15" s="174">
        <f t="shared" si="6"/>
        <v>0</v>
      </c>
    </row>
    <row r="16" spans="1:36" ht="15.75" thickBot="1" x14ac:dyDescent="0.3">
      <c r="A16" s="288"/>
      <c r="B16" s="166" t="s">
        <v>71</v>
      </c>
      <c r="C16" s="162">
        <v>1</v>
      </c>
      <c r="D16" s="153" t="s">
        <v>33</v>
      </c>
      <c r="E16" s="163" t="e">
        <f t="shared" si="0"/>
        <v>#VALUE!</v>
      </c>
      <c r="F16" s="154" t="s">
        <v>65</v>
      </c>
      <c r="G16" s="163" t="e">
        <f t="shared" si="1"/>
        <v>#VALUE!</v>
      </c>
      <c r="H16" s="153">
        <v>0</v>
      </c>
      <c r="I16" s="163">
        <f t="shared" si="2"/>
        <v>0</v>
      </c>
      <c r="J16" s="153">
        <v>0</v>
      </c>
      <c r="K16" s="163">
        <f t="shared" si="3"/>
        <v>0</v>
      </c>
      <c r="L16" s="153">
        <v>0</v>
      </c>
      <c r="M16" s="163">
        <f t="shared" si="7"/>
        <v>0</v>
      </c>
      <c r="N16" s="153">
        <v>0</v>
      </c>
      <c r="O16" s="163">
        <f t="shared" si="4"/>
        <v>0</v>
      </c>
      <c r="P16" s="160">
        <v>6</v>
      </c>
      <c r="Q16" s="172"/>
      <c r="R16" s="156"/>
      <c r="S16" s="173"/>
      <c r="T16" s="157"/>
      <c r="U16" s="173"/>
      <c r="V16" s="157"/>
      <c r="W16" s="173"/>
      <c r="X16" s="157"/>
      <c r="Y16" s="173"/>
      <c r="Z16" s="157"/>
      <c r="AA16" s="173"/>
      <c r="AB16" s="157"/>
      <c r="AC16" s="173"/>
      <c r="AD16" s="157"/>
      <c r="AE16" s="173"/>
      <c r="AF16" s="157"/>
      <c r="AG16" s="173"/>
      <c r="AH16" s="157"/>
      <c r="AI16" s="173"/>
      <c r="AJ16" s="175">
        <f t="shared" si="6"/>
        <v>0</v>
      </c>
    </row>
    <row r="17" spans="1:36" x14ac:dyDescent="0.25">
      <c r="D17" s="143"/>
    </row>
    <row r="22" spans="1:36" ht="21.75" thickBot="1" x14ac:dyDescent="0.4">
      <c r="A22" s="291" t="s">
        <v>117</v>
      </c>
      <c r="B22" s="292"/>
      <c r="C22" s="301" t="s">
        <v>109</v>
      </c>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3"/>
    </row>
    <row r="23" spans="1:36" ht="141" customHeight="1" x14ac:dyDescent="0.35">
      <c r="A23" s="307" t="s">
        <v>101</v>
      </c>
      <c r="B23" s="167" t="s">
        <v>69</v>
      </c>
      <c r="C23" s="164" t="s">
        <v>97</v>
      </c>
      <c r="D23" s="310" t="s">
        <v>59</v>
      </c>
      <c r="E23" s="310"/>
      <c r="F23" s="310" t="s">
        <v>60</v>
      </c>
      <c r="G23" s="310"/>
      <c r="H23" s="310" t="s">
        <v>61</v>
      </c>
      <c r="I23" s="310"/>
      <c r="J23" s="310" t="s">
        <v>62</v>
      </c>
      <c r="K23" s="310"/>
      <c r="L23" s="310" t="s">
        <v>63</v>
      </c>
      <c r="M23" s="310"/>
      <c r="N23" s="310" t="s">
        <v>64</v>
      </c>
      <c r="O23" s="310"/>
      <c r="P23" s="311" t="s">
        <v>103</v>
      </c>
      <c r="Q23" s="164" t="s">
        <v>97</v>
      </c>
      <c r="R23" s="298" t="s">
        <v>74</v>
      </c>
      <c r="S23" s="298"/>
      <c r="T23" s="298" t="s">
        <v>73</v>
      </c>
      <c r="U23" s="298"/>
      <c r="V23" s="298" t="s">
        <v>75</v>
      </c>
      <c r="W23" s="298"/>
      <c r="X23" s="298" t="s">
        <v>76</v>
      </c>
      <c r="Y23" s="298"/>
      <c r="Z23" s="298" t="s">
        <v>77</v>
      </c>
      <c r="AA23" s="298"/>
      <c r="AB23" s="298" t="s">
        <v>78</v>
      </c>
      <c r="AC23" s="298"/>
      <c r="AD23" s="298" t="s">
        <v>79</v>
      </c>
      <c r="AE23" s="298"/>
      <c r="AF23" s="298" t="s">
        <v>80</v>
      </c>
      <c r="AG23" s="298"/>
      <c r="AH23" s="298" t="s">
        <v>81</v>
      </c>
      <c r="AI23" s="298"/>
      <c r="AJ23" s="299" t="s">
        <v>103</v>
      </c>
    </row>
    <row r="24" spans="1:36" x14ac:dyDescent="0.25">
      <c r="A24" s="308"/>
      <c r="B24" s="67" t="s">
        <v>99</v>
      </c>
      <c r="C24" s="161" t="s">
        <v>10</v>
      </c>
      <c r="D24" s="289">
        <v>6</v>
      </c>
      <c r="E24" s="289"/>
      <c r="F24" s="289">
        <v>4</v>
      </c>
      <c r="G24" s="289"/>
      <c r="H24" s="289">
        <v>1</v>
      </c>
      <c r="I24" s="289"/>
      <c r="J24" s="289">
        <v>1</v>
      </c>
      <c r="K24" s="289"/>
      <c r="L24" s="289">
        <v>4</v>
      </c>
      <c r="M24" s="289"/>
      <c r="N24" s="289">
        <v>2</v>
      </c>
      <c r="O24" s="289"/>
      <c r="P24" s="311"/>
      <c r="Q24" s="170" t="s">
        <v>10</v>
      </c>
      <c r="R24" s="289">
        <v>40</v>
      </c>
      <c r="S24" s="289"/>
      <c r="T24" s="289">
        <v>40</v>
      </c>
      <c r="U24" s="289"/>
      <c r="V24" s="289">
        <v>27</v>
      </c>
      <c r="W24" s="289"/>
      <c r="X24" s="289">
        <v>17</v>
      </c>
      <c r="Y24" s="289"/>
      <c r="Z24" s="289">
        <v>10</v>
      </c>
      <c r="AA24" s="289"/>
      <c r="AB24" s="289">
        <v>14</v>
      </c>
      <c r="AC24" s="289"/>
      <c r="AD24" s="289">
        <v>12</v>
      </c>
      <c r="AE24" s="289"/>
      <c r="AF24" s="289">
        <v>14</v>
      </c>
      <c r="AG24" s="289"/>
      <c r="AH24" s="289">
        <v>20</v>
      </c>
      <c r="AI24" s="289"/>
      <c r="AJ24" s="299"/>
    </row>
    <row r="25" spans="1:36" ht="15.75" thickBot="1" x14ac:dyDescent="0.3">
      <c r="A25" s="309"/>
      <c r="B25" s="168" t="s">
        <v>98</v>
      </c>
      <c r="C25" s="169" t="s">
        <v>10</v>
      </c>
      <c r="D25" s="290">
        <v>3</v>
      </c>
      <c r="E25" s="290"/>
      <c r="F25" s="290">
        <v>3.5</v>
      </c>
      <c r="G25" s="290"/>
      <c r="H25" s="290">
        <v>2</v>
      </c>
      <c r="I25" s="290"/>
      <c r="J25" s="290">
        <v>2</v>
      </c>
      <c r="K25" s="290"/>
      <c r="L25" s="290">
        <v>7</v>
      </c>
      <c r="M25" s="290"/>
      <c r="N25" s="290">
        <v>7</v>
      </c>
      <c r="O25" s="290"/>
      <c r="P25" s="312"/>
      <c r="Q25" s="171" t="s">
        <v>10</v>
      </c>
      <c r="R25" s="290">
        <v>3</v>
      </c>
      <c r="S25" s="290"/>
      <c r="T25" s="290">
        <v>3</v>
      </c>
      <c r="U25" s="290"/>
      <c r="V25" s="290">
        <v>3</v>
      </c>
      <c r="W25" s="290"/>
      <c r="X25" s="290">
        <v>3</v>
      </c>
      <c r="Y25" s="290"/>
      <c r="Z25" s="290">
        <v>12</v>
      </c>
      <c r="AA25" s="290"/>
      <c r="AB25" s="290">
        <v>12</v>
      </c>
      <c r="AC25" s="290"/>
      <c r="AD25" s="290">
        <v>6</v>
      </c>
      <c r="AE25" s="290"/>
      <c r="AF25" s="290">
        <v>3</v>
      </c>
      <c r="AG25" s="290"/>
      <c r="AH25" s="290">
        <v>3</v>
      </c>
      <c r="AI25" s="290"/>
      <c r="AJ25" s="300"/>
    </row>
    <row r="26" spans="1:36" x14ac:dyDescent="0.25">
      <c r="A26" s="165"/>
      <c r="B26" s="208" t="s">
        <v>100</v>
      </c>
      <c r="C26" s="161" t="s">
        <v>10</v>
      </c>
      <c r="D26" s="75" t="s">
        <v>33</v>
      </c>
      <c r="E26" s="75" t="s">
        <v>70</v>
      </c>
      <c r="F26" s="75" t="s">
        <v>33</v>
      </c>
      <c r="G26" s="75" t="s">
        <v>70</v>
      </c>
      <c r="H26" s="75" t="s">
        <v>33</v>
      </c>
      <c r="I26" s="75" t="s">
        <v>70</v>
      </c>
      <c r="J26" s="75" t="s">
        <v>33</v>
      </c>
      <c r="K26" s="75" t="s">
        <v>70</v>
      </c>
      <c r="L26" s="75" t="s">
        <v>33</v>
      </c>
      <c r="M26" s="75" t="s">
        <v>70</v>
      </c>
      <c r="N26" s="75" t="s">
        <v>33</v>
      </c>
      <c r="O26" s="75" t="s">
        <v>70</v>
      </c>
      <c r="P26" s="158" t="s">
        <v>102</v>
      </c>
      <c r="Q26" s="170" t="s">
        <v>10</v>
      </c>
      <c r="R26" s="75" t="s">
        <v>33</v>
      </c>
      <c r="S26" s="75" t="s">
        <v>70</v>
      </c>
      <c r="T26" s="75" t="s">
        <v>33</v>
      </c>
      <c r="U26" s="75" t="s">
        <v>70</v>
      </c>
      <c r="V26" s="75" t="s">
        <v>33</v>
      </c>
      <c r="W26" s="75" t="s">
        <v>70</v>
      </c>
      <c r="X26" s="75" t="s">
        <v>33</v>
      </c>
      <c r="Y26" s="75" t="s">
        <v>70</v>
      </c>
      <c r="Z26" s="75" t="s">
        <v>33</v>
      </c>
      <c r="AA26" s="75" t="s">
        <v>70</v>
      </c>
      <c r="AB26" s="75" t="s">
        <v>33</v>
      </c>
      <c r="AC26" s="75" t="s">
        <v>70</v>
      </c>
      <c r="AD26" s="75" t="s">
        <v>33</v>
      </c>
      <c r="AE26" s="75" t="s">
        <v>70</v>
      </c>
      <c r="AF26" s="75" t="s">
        <v>33</v>
      </c>
      <c r="AG26" s="75" t="s">
        <v>70</v>
      </c>
      <c r="AH26" s="75" t="s">
        <v>33</v>
      </c>
      <c r="AI26" s="75" t="s">
        <v>70</v>
      </c>
      <c r="AJ26" s="174" t="s">
        <v>102</v>
      </c>
    </row>
    <row r="27" spans="1:36" x14ac:dyDescent="0.25">
      <c r="A27" s="287" t="s">
        <v>66</v>
      </c>
      <c r="B27" s="141" t="s">
        <v>52</v>
      </c>
      <c r="C27" s="161">
        <v>1</v>
      </c>
      <c r="D27" s="152">
        <v>1</v>
      </c>
      <c r="E27" s="75">
        <f>$D$6*$D$24*D27*C27</f>
        <v>18</v>
      </c>
      <c r="F27" s="152">
        <v>1</v>
      </c>
      <c r="G27" s="75">
        <f>$F$25*$F$24*F27*C27</f>
        <v>14</v>
      </c>
      <c r="H27" s="152">
        <v>1</v>
      </c>
      <c r="I27" s="75">
        <f>$H$25*$H$24*H27*C27</f>
        <v>2</v>
      </c>
      <c r="J27" s="152">
        <v>1</v>
      </c>
      <c r="K27" s="75">
        <f>$J$25*$J$24*J27*C27</f>
        <v>2</v>
      </c>
      <c r="L27" s="152">
        <v>0</v>
      </c>
      <c r="M27" s="75">
        <f>$L$5*$L$6*L27*C27</f>
        <v>0</v>
      </c>
      <c r="N27" s="152">
        <v>0</v>
      </c>
      <c r="O27" s="75">
        <f>$N$5*$N$6*N27*C27</f>
        <v>0</v>
      </c>
      <c r="P27" s="159">
        <f>E27+G27+I27+K27+M27+O27</f>
        <v>36</v>
      </c>
      <c r="Q27" s="170"/>
      <c r="R27" s="152"/>
      <c r="S27" s="151"/>
      <c r="T27" s="155"/>
      <c r="U27" s="75"/>
      <c r="V27" s="155"/>
      <c r="W27" s="75"/>
      <c r="X27" s="155"/>
      <c r="Y27" s="75"/>
      <c r="Z27" s="155"/>
      <c r="AA27" s="75"/>
      <c r="AB27" s="155"/>
      <c r="AC27" s="75"/>
      <c r="AD27" s="155"/>
      <c r="AE27" s="75"/>
      <c r="AF27" s="155"/>
      <c r="AG27" s="75"/>
      <c r="AH27" s="155"/>
      <c r="AI27" s="75"/>
      <c r="AJ27" s="174">
        <f>S27+U27+W27+Y27+AA27+AC27+AE27+AG27+AI27</f>
        <v>0</v>
      </c>
    </row>
    <row r="28" spans="1:36" x14ac:dyDescent="0.25">
      <c r="A28" s="287"/>
      <c r="B28" s="141" t="s">
        <v>55</v>
      </c>
      <c r="C28" s="161">
        <v>3</v>
      </c>
      <c r="D28" s="152">
        <v>0</v>
      </c>
      <c r="E28" s="75">
        <f t="shared" ref="E28:E35" si="8">$D$6*$D$24*D28*C28</f>
        <v>0</v>
      </c>
      <c r="F28" s="152">
        <v>1</v>
      </c>
      <c r="G28" s="75">
        <f t="shared" ref="G28:G35" si="9">$F$25*$F$24*F28*C28</f>
        <v>42</v>
      </c>
      <c r="H28" s="152">
        <v>0</v>
      </c>
      <c r="I28" s="75">
        <f t="shared" ref="I28:I35" si="10">$H$25*$H$24*H28*C28</f>
        <v>0</v>
      </c>
      <c r="J28" s="152">
        <v>0</v>
      </c>
      <c r="K28" s="75">
        <f t="shared" ref="K28:K35" si="11">$J$25*$J$24*J28*C28</f>
        <v>0</v>
      </c>
      <c r="L28" s="152">
        <v>0</v>
      </c>
      <c r="M28" s="75">
        <f>($L$5*$L$6*L28*C28)/3</f>
        <v>0</v>
      </c>
      <c r="N28" s="152">
        <v>0.33300000000000002</v>
      </c>
      <c r="O28" s="75">
        <f t="shared" ref="O28:O35" si="12">$N$5*$N$6*N28*C28</f>
        <v>13.986000000000001</v>
      </c>
      <c r="P28" s="159">
        <f t="shared" ref="P28:P34" si="13">E28+G28+I28+K28+M28+O28</f>
        <v>55.986000000000004</v>
      </c>
      <c r="Q28" s="170">
        <v>1</v>
      </c>
      <c r="R28" s="152">
        <v>1</v>
      </c>
      <c r="S28" s="75">
        <f>$R$25*$R$24*R28*Q28</f>
        <v>120</v>
      </c>
      <c r="T28" s="155"/>
      <c r="U28" s="75"/>
      <c r="V28" s="155">
        <v>1</v>
      </c>
      <c r="W28" s="75">
        <f>$V$25*$V$24*V28*Q28</f>
        <v>81</v>
      </c>
      <c r="X28" s="155"/>
      <c r="Y28" s="75"/>
      <c r="Z28" s="155">
        <v>1</v>
      </c>
      <c r="AA28" s="75">
        <f>Z28*Z24*Z25*Q28</f>
        <v>120</v>
      </c>
      <c r="AB28" s="155"/>
      <c r="AC28" s="75"/>
      <c r="AD28" s="155">
        <v>1</v>
      </c>
      <c r="AE28" s="75">
        <f>AD28*Q28*AD25*AD24</f>
        <v>72</v>
      </c>
      <c r="AF28" s="155">
        <v>1</v>
      </c>
      <c r="AG28" s="75">
        <f>AF28*AF25*AF24*Q28</f>
        <v>42</v>
      </c>
      <c r="AH28" s="155"/>
      <c r="AI28" s="75"/>
      <c r="AJ28" s="174">
        <f t="shared" ref="AJ28:AJ35" si="14">S28+U28+W28+Y28+AA28+AC28+AE28+AG28+AI28</f>
        <v>435</v>
      </c>
    </row>
    <row r="29" spans="1:36" x14ac:dyDescent="0.25">
      <c r="A29" s="297" t="s">
        <v>67</v>
      </c>
      <c r="B29" s="141" t="s">
        <v>53</v>
      </c>
      <c r="C29" s="161">
        <v>1</v>
      </c>
      <c r="D29" s="152">
        <v>1</v>
      </c>
      <c r="E29" s="75">
        <f t="shared" si="8"/>
        <v>18</v>
      </c>
      <c r="F29" s="152">
        <v>1</v>
      </c>
      <c r="G29" s="75">
        <f t="shared" si="9"/>
        <v>14</v>
      </c>
      <c r="H29" s="152">
        <v>1</v>
      </c>
      <c r="I29" s="75">
        <f t="shared" si="10"/>
        <v>2</v>
      </c>
      <c r="J29" s="152">
        <v>1</v>
      </c>
      <c r="K29" s="75">
        <f t="shared" si="11"/>
        <v>2</v>
      </c>
      <c r="L29" s="152">
        <v>0</v>
      </c>
      <c r="M29" s="75">
        <f t="shared" ref="M29" si="15">$L$5*$L$6*L29*C29</f>
        <v>0</v>
      </c>
      <c r="N29" s="152">
        <v>0</v>
      </c>
      <c r="O29" s="75">
        <f t="shared" si="12"/>
        <v>0</v>
      </c>
      <c r="P29" s="159">
        <f t="shared" si="13"/>
        <v>36</v>
      </c>
      <c r="Q29" s="170">
        <v>1</v>
      </c>
      <c r="R29" s="152"/>
      <c r="S29" s="75"/>
      <c r="T29" s="155"/>
      <c r="U29" s="75"/>
      <c r="V29" s="155"/>
      <c r="W29" s="75"/>
      <c r="X29" s="155"/>
      <c r="Y29" s="75"/>
      <c r="Z29" s="155"/>
      <c r="AA29" s="75"/>
      <c r="AB29" s="155"/>
      <c r="AC29" s="75"/>
      <c r="AD29" s="155"/>
      <c r="AE29" s="75"/>
      <c r="AF29" s="155"/>
      <c r="AG29" s="75"/>
      <c r="AH29" s="155">
        <v>1</v>
      </c>
      <c r="AI29" s="75">
        <f>AH29*Q29*AH25*AH24</f>
        <v>60</v>
      </c>
      <c r="AJ29" s="174">
        <f t="shared" si="14"/>
        <v>60</v>
      </c>
    </row>
    <row r="30" spans="1:36" x14ac:dyDescent="0.25">
      <c r="A30" s="297"/>
      <c r="B30" s="141" t="s">
        <v>56</v>
      </c>
      <c r="C30" s="161">
        <v>3</v>
      </c>
      <c r="D30" s="152">
        <v>0</v>
      </c>
      <c r="E30" s="75">
        <f t="shared" si="8"/>
        <v>0</v>
      </c>
      <c r="F30" s="152">
        <v>1</v>
      </c>
      <c r="G30" s="75">
        <f t="shared" si="9"/>
        <v>42</v>
      </c>
      <c r="H30" s="152">
        <v>0</v>
      </c>
      <c r="I30" s="75">
        <f t="shared" si="10"/>
        <v>0</v>
      </c>
      <c r="J30" s="152">
        <v>0</v>
      </c>
      <c r="K30" s="75">
        <f t="shared" si="11"/>
        <v>0</v>
      </c>
      <c r="L30" s="152">
        <v>0</v>
      </c>
      <c r="M30" s="75">
        <f>($L$5*$L$6*L30*C30)/3</f>
        <v>0</v>
      </c>
      <c r="N30" s="152">
        <v>0.33300000000000002</v>
      </c>
      <c r="O30" s="75">
        <f t="shared" si="12"/>
        <v>13.986000000000001</v>
      </c>
      <c r="P30" s="159">
        <f t="shared" si="13"/>
        <v>55.986000000000004</v>
      </c>
      <c r="Q30" s="170">
        <v>1</v>
      </c>
      <c r="R30" s="152"/>
      <c r="S30" s="75"/>
      <c r="T30" s="155">
        <v>1</v>
      </c>
      <c r="U30" s="75">
        <f>$T$25*$T$24*T30*Q30</f>
        <v>120</v>
      </c>
      <c r="V30" s="155"/>
      <c r="W30" s="75"/>
      <c r="X30" s="155">
        <v>1</v>
      </c>
      <c r="Y30" s="75">
        <f>$X$24*$X$25*Q30*X30</f>
        <v>51</v>
      </c>
      <c r="Z30" s="155"/>
      <c r="AA30" s="75"/>
      <c r="AB30" s="155">
        <v>1</v>
      </c>
      <c r="AC30" s="75">
        <f>AB30*Q30*AB25*AB24</f>
        <v>168</v>
      </c>
      <c r="AD30" s="155"/>
      <c r="AE30" s="75"/>
      <c r="AF30" s="155"/>
      <c r="AG30" s="75"/>
      <c r="AH30" s="155">
        <v>1</v>
      </c>
      <c r="AI30" s="75">
        <f>AH30*Q30*AH25*AH24</f>
        <v>60</v>
      </c>
      <c r="AJ30" s="174">
        <f t="shared" si="14"/>
        <v>399</v>
      </c>
    </row>
    <row r="31" spans="1:36" x14ac:dyDescent="0.25">
      <c r="A31" s="287" t="s">
        <v>68</v>
      </c>
      <c r="B31" s="141" t="s">
        <v>54</v>
      </c>
      <c r="C31" s="161">
        <v>1</v>
      </c>
      <c r="D31" s="152">
        <v>1</v>
      </c>
      <c r="E31" s="75">
        <f t="shared" si="8"/>
        <v>18</v>
      </c>
      <c r="F31" s="152">
        <v>0</v>
      </c>
      <c r="G31" s="75">
        <f t="shared" si="9"/>
        <v>0</v>
      </c>
      <c r="H31" s="152">
        <v>1</v>
      </c>
      <c r="I31" s="75">
        <f t="shared" si="10"/>
        <v>2</v>
      </c>
      <c r="J31" s="152">
        <v>1</v>
      </c>
      <c r="K31" s="75">
        <f t="shared" si="11"/>
        <v>2</v>
      </c>
      <c r="L31" s="152">
        <v>0</v>
      </c>
      <c r="M31" s="75">
        <f t="shared" ref="M31:M35" si="16">$L$5*$L$6*L31*C31</f>
        <v>0</v>
      </c>
      <c r="N31" s="152">
        <v>0</v>
      </c>
      <c r="O31" s="75">
        <f t="shared" si="12"/>
        <v>0</v>
      </c>
      <c r="P31" s="159">
        <f t="shared" si="13"/>
        <v>22</v>
      </c>
      <c r="Q31" s="170"/>
      <c r="R31" s="152"/>
      <c r="S31" s="75"/>
      <c r="T31" s="155"/>
      <c r="U31" s="75"/>
      <c r="V31" s="155"/>
      <c r="W31" s="75"/>
      <c r="X31" s="155"/>
      <c r="Y31" s="75"/>
      <c r="Z31" s="155"/>
      <c r="AA31" s="75"/>
      <c r="AB31" s="155"/>
      <c r="AC31" s="75"/>
      <c r="AD31" s="155"/>
      <c r="AE31" s="75"/>
      <c r="AF31" s="155"/>
      <c r="AG31" s="75"/>
      <c r="AH31" s="155"/>
      <c r="AI31" s="75"/>
      <c r="AJ31" s="174">
        <f t="shared" si="14"/>
        <v>0</v>
      </c>
    </row>
    <row r="32" spans="1:36" x14ac:dyDescent="0.25">
      <c r="A32" s="287"/>
      <c r="B32" s="141" t="s">
        <v>72</v>
      </c>
      <c r="C32" s="161">
        <v>1</v>
      </c>
      <c r="D32" s="152">
        <v>0.5</v>
      </c>
      <c r="E32" s="75">
        <f t="shared" si="8"/>
        <v>9</v>
      </c>
      <c r="F32" s="152">
        <v>0</v>
      </c>
      <c r="G32" s="75">
        <f t="shared" si="9"/>
        <v>0</v>
      </c>
      <c r="H32" s="152">
        <v>0</v>
      </c>
      <c r="I32" s="75">
        <f t="shared" si="10"/>
        <v>0</v>
      </c>
      <c r="J32" s="152">
        <v>0</v>
      </c>
      <c r="K32" s="75">
        <f t="shared" si="11"/>
        <v>0</v>
      </c>
      <c r="L32" s="152">
        <v>0</v>
      </c>
      <c r="M32" s="75">
        <f t="shared" si="16"/>
        <v>0</v>
      </c>
      <c r="N32" s="152">
        <v>0</v>
      </c>
      <c r="O32" s="75">
        <f t="shared" si="12"/>
        <v>0</v>
      </c>
      <c r="P32" s="159">
        <f t="shared" si="13"/>
        <v>9</v>
      </c>
      <c r="Q32" s="170"/>
      <c r="R32" s="152"/>
      <c r="S32" s="75"/>
      <c r="T32" s="155"/>
      <c r="U32" s="75"/>
      <c r="V32" s="155"/>
      <c r="W32" s="75"/>
      <c r="X32" s="155"/>
      <c r="Y32" s="75"/>
      <c r="Z32" s="155"/>
      <c r="AA32" s="75"/>
      <c r="AB32" s="155"/>
      <c r="AC32" s="75"/>
      <c r="AD32" s="155"/>
      <c r="AE32" s="75"/>
      <c r="AF32" s="155"/>
      <c r="AG32" s="75"/>
      <c r="AH32" s="155"/>
      <c r="AI32" s="75"/>
      <c r="AJ32" s="174">
        <f t="shared" si="14"/>
        <v>0</v>
      </c>
    </row>
    <row r="33" spans="1:36" x14ac:dyDescent="0.25">
      <c r="A33" s="287"/>
      <c r="B33" s="141" t="s">
        <v>46</v>
      </c>
      <c r="C33" s="161">
        <v>7</v>
      </c>
      <c r="D33" s="152">
        <v>0</v>
      </c>
      <c r="E33" s="75">
        <f t="shared" si="8"/>
        <v>0</v>
      </c>
      <c r="F33" s="152">
        <v>1</v>
      </c>
      <c r="G33" s="75">
        <f t="shared" si="9"/>
        <v>98</v>
      </c>
      <c r="H33" s="152">
        <v>0</v>
      </c>
      <c r="I33" s="75">
        <f t="shared" si="10"/>
        <v>0</v>
      </c>
      <c r="J33" s="152">
        <v>0</v>
      </c>
      <c r="K33" s="75">
        <f t="shared" si="11"/>
        <v>0</v>
      </c>
      <c r="L33" s="152">
        <v>0</v>
      </c>
      <c r="M33" s="75">
        <f t="shared" si="16"/>
        <v>0</v>
      </c>
      <c r="N33" s="152">
        <f>1/C33</f>
        <v>0.14285714285714285</v>
      </c>
      <c r="O33" s="75">
        <f t="shared" si="12"/>
        <v>14</v>
      </c>
      <c r="P33" s="159">
        <f t="shared" si="13"/>
        <v>112</v>
      </c>
      <c r="Q33" s="170">
        <v>1</v>
      </c>
      <c r="R33" s="152">
        <v>0</v>
      </c>
      <c r="S33" s="75">
        <f>$R$5*$R$6*R33*Q33</f>
        <v>0</v>
      </c>
      <c r="T33" s="155">
        <v>0</v>
      </c>
      <c r="U33" s="75">
        <f>$T$5*$T$6*T33*Q33</f>
        <v>0</v>
      </c>
      <c r="V33" s="155">
        <v>1</v>
      </c>
      <c r="W33" s="75">
        <f>$V$25*$V$24*V33*Q33</f>
        <v>81</v>
      </c>
      <c r="X33" s="155">
        <v>1</v>
      </c>
      <c r="Y33" s="75">
        <f>$X$24*$X$25*Q33*X33</f>
        <v>51</v>
      </c>
      <c r="Z33" s="155"/>
      <c r="AA33" s="75"/>
      <c r="AB33" s="155"/>
      <c r="AC33" s="75"/>
      <c r="AD33" s="155"/>
      <c r="AE33" s="75"/>
      <c r="AF33" s="155"/>
      <c r="AG33" s="75"/>
      <c r="AH33" s="155"/>
      <c r="AI33" s="75"/>
      <c r="AJ33" s="174">
        <f t="shared" si="14"/>
        <v>132</v>
      </c>
    </row>
    <row r="34" spans="1:36" x14ac:dyDescent="0.25">
      <c r="A34" s="287"/>
      <c r="B34" s="141" t="s">
        <v>57</v>
      </c>
      <c r="C34" s="161">
        <v>1</v>
      </c>
      <c r="D34" s="152">
        <v>1</v>
      </c>
      <c r="E34" s="75">
        <f t="shared" si="8"/>
        <v>18</v>
      </c>
      <c r="F34" s="152">
        <v>1</v>
      </c>
      <c r="G34" s="75">
        <f t="shared" si="9"/>
        <v>14</v>
      </c>
      <c r="H34" s="152">
        <v>1</v>
      </c>
      <c r="I34" s="75">
        <f t="shared" si="10"/>
        <v>2</v>
      </c>
      <c r="J34" s="152">
        <v>1</v>
      </c>
      <c r="K34" s="75">
        <f t="shared" si="11"/>
        <v>2</v>
      </c>
      <c r="L34" s="152">
        <v>0</v>
      </c>
      <c r="M34" s="75">
        <f t="shared" si="16"/>
        <v>0</v>
      </c>
      <c r="N34" s="152">
        <v>1</v>
      </c>
      <c r="O34" s="75">
        <f t="shared" si="12"/>
        <v>14</v>
      </c>
      <c r="P34" s="159">
        <f t="shared" si="13"/>
        <v>50</v>
      </c>
      <c r="Q34" s="170"/>
      <c r="R34" s="152"/>
      <c r="S34" s="75"/>
      <c r="T34" s="155"/>
      <c r="U34" s="75"/>
      <c r="V34" s="155"/>
      <c r="W34" s="75"/>
      <c r="X34" s="155"/>
      <c r="Y34" s="75"/>
      <c r="Z34" s="155"/>
      <c r="AA34" s="75"/>
      <c r="AB34" s="155"/>
      <c r="AC34" s="75"/>
      <c r="AD34" s="155"/>
      <c r="AE34" s="75"/>
      <c r="AF34" s="155"/>
      <c r="AG34" s="75"/>
      <c r="AH34" s="155"/>
      <c r="AI34" s="75"/>
      <c r="AJ34" s="174">
        <f t="shared" si="14"/>
        <v>0</v>
      </c>
    </row>
    <row r="35" spans="1:36" ht="15.75" thickBot="1" x14ac:dyDescent="0.3">
      <c r="A35" s="288"/>
      <c r="B35" s="166" t="s">
        <v>130</v>
      </c>
      <c r="C35" s="162">
        <v>1</v>
      </c>
      <c r="D35" s="153" t="s">
        <v>33</v>
      </c>
      <c r="E35" s="163" t="e">
        <f t="shared" si="8"/>
        <v>#VALUE!</v>
      </c>
      <c r="F35" s="154" t="s">
        <v>65</v>
      </c>
      <c r="G35" s="163" t="e">
        <f t="shared" si="9"/>
        <v>#VALUE!</v>
      </c>
      <c r="H35" s="153">
        <v>0</v>
      </c>
      <c r="I35" s="163">
        <f t="shared" si="10"/>
        <v>0</v>
      </c>
      <c r="J35" s="153">
        <v>0</v>
      </c>
      <c r="K35" s="163">
        <f t="shared" si="11"/>
        <v>0</v>
      </c>
      <c r="L35" s="153">
        <v>0</v>
      </c>
      <c r="M35" s="163">
        <f t="shared" si="16"/>
        <v>0</v>
      </c>
      <c r="N35" s="153">
        <v>0</v>
      </c>
      <c r="O35" s="163">
        <f t="shared" si="12"/>
        <v>0</v>
      </c>
      <c r="P35" s="160">
        <v>3</v>
      </c>
      <c r="Q35" s="172"/>
      <c r="R35" s="156"/>
      <c r="S35" s="173"/>
      <c r="T35" s="157"/>
      <c r="U35" s="173"/>
      <c r="V35" s="157"/>
      <c r="W35" s="173"/>
      <c r="X35" s="157"/>
      <c r="Y35" s="173"/>
      <c r="Z35" s="157"/>
      <c r="AA35" s="173"/>
      <c r="AB35" s="157"/>
      <c r="AC35" s="173"/>
      <c r="AD35" s="157"/>
      <c r="AE35" s="173"/>
      <c r="AF35" s="157"/>
      <c r="AG35" s="173"/>
      <c r="AH35" s="157"/>
      <c r="AI35" s="173"/>
      <c r="AJ35" s="175">
        <f t="shared" si="14"/>
        <v>0</v>
      </c>
    </row>
    <row r="38" spans="1:36" ht="21.75" thickBot="1" x14ac:dyDescent="0.4">
      <c r="A38" s="313" t="s">
        <v>128</v>
      </c>
      <c r="B38" s="314"/>
      <c r="C38" s="304" t="s">
        <v>112</v>
      </c>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6"/>
    </row>
    <row r="39" spans="1:36" ht="145.5" customHeight="1" x14ac:dyDescent="0.35">
      <c r="A39" s="307" t="s">
        <v>101</v>
      </c>
      <c r="B39" s="167" t="s">
        <v>69</v>
      </c>
      <c r="C39" s="164" t="s">
        <v>97</v>
      </c>
      <c r="D39" s="310" t="s">
        <v>59</v>
      </c>
      <c r="E39" s="310"/>
      <c r="F39" s="310" t="s">
        <v>60</v>
      </c>
      <c r="G39" s="310"/>
      <c r="H39" s="310" t="s">
        <v>61</v>
      </c>
      <c r="I39" s="310"/>
      <c r="J39" s="310" t="s">
        <v>62</v>
      </c>
      <c r="K39" s="310"/>
      <c r="L39" s="310" t="s">
        <v>63</v>
      </c>
      <c r="M39" s="310"/>
      <c r="N39" s="310" t="s">
        <v>64</v>
      </c>
      <c r="O39" s="310"/>
      <c r="P39" s="311" t="s">
        <v>103</v>
      </c>
      <c r="Q39" s="164" t="s">
        <v>97</v>
      </c>
      <c r="R39" s="298" t="s">
        <v>74</v>
      </c>
      <c r="S39" s="298"/>
      <c r="T39" s="298" t="s">
        <v>73</v>
      </c>
      <c r="U39" s="298"/>
      <c r="V39" s="298" t="s">
        <v>75</v>
      </c>
      <c r="W39" s="298"/>
      <c r="X39" s="298" t="s">
        <v>76</v>
      </c>
      <c r="Y39" s="298"/>
      <c r="Z39" s="298" t="s">
        <v>77</v>
      </c>
      <c r="AA39" s="298"/>
      <c r="AB39" s="298" t="s">
        <v>78</v>
      </c>
      <c r="AC39" s="298"/>
      <c r="AD39" s="298" t="s">
        <v>79</v>
      </c>
      <c r="AE39" s="298"/>
      <c r="AF39" s="298" t="s">
        <v>80</v>
      </c>
      <c r="AG39" s="298"/>
      <c r="AH39" s="298" t="s">
        <v>81</v>
      </c>
      <c r="AI39" s="298"/>
      <c r="AJ39" s="299" t="s">
        <v>103</v>
      </c>
    </row>
    <row r="40" spans="1:36" x14ac:dyDescent="0.25">
      <c r="A40" s="308"/>
      <c r="B40" s="67" t="s">
        <v>99</v>
      </c>
      <c r="C40" s="161" t="s">
        <v>10</v>
      </c>
      <c r="D40" s="289">
        <v>6</v>
      </c>
      <c r="E40" s="289"/>
      <c r="F40" s="289">
        <v>3</v>
      </c>
      <c r="G40" s="289"/>
      <c r="H40" s="289">
        <v>1</v>
      </c>
      <c r="I40" s="289"/>
      <c r="J40" s="289">
        <v>1</v>
      </c>
      <c r="K40" s="289"/>
      <c r="L40" s="289">
        <v>4</v>
      </c>
      <c r="M40" s="289"/>
      <c r="N40" s="289">
        <v>2</v>
      </c>
      <c r="O40" s="289"/>
      <c r="P40" s="311"/>
      <c r="Q40" s="170" t="s">
        <v>10</v>
      </c>
      <c r="R40" s="289">
        <v>40</v>
      </c>
      <c r="S40" s="289"/>
      <c r="T40" s="289">
        <v>40</v>
      </c>
      <c r="U40" s="289"/>
      <c r="V40" s="289">
        <v>27</v>
      </c>
      <c r="W40" s="289"/>
      <c r="X40" s="289">
        <v>17</v>
      </c>
      <c r="Y40" s="289"/>
      <c r="Z40" s="289">
        <v>10</v>
      </c>
      <c r="AA40" s="289"/>
      <c r="AB40" s="289">
        <v>14</v>
      </c>
      <c r="AC40" s="289"/>
      <c r="AD40" s="289">
        <v>12</v>
      </c>
      <c r="AE40" s="289"/>
      <c r="AF40" s="289">
        <v>14</v>
      </c>
      <c r="AG40" s="289"/>
      <c r="AH40" s="289">
        <v>20</v>
      </c>
      <c r="AI40" s="289"/>
      <c r="AJ40" s="299"/>
    </row>
    <row r="41" spans="1:36" ht="15.75" thickBot="1" x14ac:dyDescent="0.3">
      <c r="A41" s="309"/>
      <c r="B41" s="168" t="s">
        <v>98</v>
      </c>
      <c r="C41" s="169" t="s">
        <v>10</v>
      </c>
      <c r="D41" s="290">
        <v>3</v>
      </c>
      <c r="E41" s="290"/>
      <c r="F41" s="290">
        <v>3.5</v>
      </c>
      <c r="G41" s="290"/>
      <c r="H41" s="290">
        <v>2</v>
      </c>
      <c r="I41" s="290"/>
      <c r="J41" s="290">
        <v>2</v>
      </c>
      <c r="K41" s="290"/>
      <c r="L41" s="290">
        <v>7</v>
      </c>
      <c r="M41" s="290"/>
      <c r="N41" s="290">
        <v>7</v>
      </c>
      <c r="O41" s="290"/>
      <c r="P41" s="312"/>
      <c r="Q41" s="171" t="s">
        <v>10</v>
      </c>
      <c r="R41" s="290">
        <v>3</v>
      </c>
      <c r="S41" s="290"/>
      <c r="T41" s="290">
        <v>3</v>
      </c>
      <c r="U41" s="290"/>
      <c r="V41" s="290">
        <v>3</v>
      </c>
      <c r="W41" s="290"/>
      <c r="X41" s="290">
        <v>3</v>
      </c>
      <c r="Y41" s="290"/>
      <c r="Z41" s="290">
        <v>12</v>
      </c>
      <c r="AA41" s="290"/>
      <c r="AB41" s="290">
        <v>12</v>
      </c>
      <c r="AC41" s="290"/>
      <c r="AD41" s="290">
        <v>6</v>
      </c>
      <c r="AE41" s="290"/>
      <c r="AF41" s="290">
        <v>3</v>
      </c>
      <c r="AG41" s="290"/>
      <c r="AH41" s="290">
        <v>3</v>
      </c>
      <c r="AI41" s="290"/>
      <c r="AJ41" s="300"/>
    </row>
    <row r="42" spans="1:36" x14ac:dyDescent="0.25">
      <c r="A42" s="165"/>
      <c r="B42" s="208" t="s">
        <v>100</v>
      </c>
      <c r="C42" s="161" t="s">
        <v>10</v>
      </c>
      <c r="D42" s="75" t="s">
        <v>33</v>
      </c>
      <c r="E42" s="75" t="s">
        <v>70</v>
      </c>
      <c r="F42" s="75" t="s">
        <v>33</v>
      </c>
      <c r="G42" s="75" t="s">
        <v>70</v>
      </c>
      <c r="H42" s="75" t="s">
        <v>33</v>
      </c>
      <c r="I42" s="75" t="s">
        <v>70</v>
      </c>
      <c r="J42" s="75" t="s">
        <v>33</v>
      </c>
      <c r="K42" s="75" t="s">
        <v>70</v>
      </c>
      <c r="L42" s="75" t="s">
        <v>33</v>
      </c>
      <c r="M42" s="75" t="s">
        <v>70</v>
      </c>
      <c r="N42" s="75" t="s">
        <v>33</v>
      </c>
      <c r="O42" s="75" t="s">
        <v>70</v>
      </c>
      <c r="P42" s="158" t="s">
        <v>102</v>
      </c>
      <c r="Q42" s="170" t="s">
        <v>10</v>
      </c>
      <c r="R42" s="75" t="s">
        <v>33</v>
      </c>
      <c r="S42" s="75" t="s">
        <v>70</v>
      </c>
      <c r="T42" s="75" t="s">
        <v>33</v>
      </c>
      <c r="U42" s="75" t="s">
        <v>70</v>
      </c>
      <c r="V42" s="75" t="s">
        <v>33</v>
      </c>
      <c r="W42" s="75" t="s">
        <v>70</v>
      </c>
      <c r="X42" s="75" t="s">
        <v>33</v>
      </c>
      <c r="Y42" s="75" t="s">
        <v>70</v>
      </c>
      <c r="Z42" s="75" t="s">
        <v>33</v>
      </c>
      <c r="AA42" s="75" t="s">
        <v>70</v>
      </c>
      <c r="AB42" s="75" t="s">
        <v>33</v>
      </c>
      <c r="AC42" s="75" t="s">
        <v>70</v>
      </c>
      <c r="AD42" s="75" t="s">
        <v>33</v>
      </c>
      <c r="AE42" s="75" t="s">
        <v>70</v>
      </c>
      <c r="AF42" s="75" t="s">
        <v>33</v>
      </c>
      <c r="AG42" s="75" t="s">
        <v>70</v>
      </c>
      <c r="AH42" s="75" t="s">
        <v>33</v>
      </c>
      <c r="AI42" s="75" t="s">
        <v>70</v>
      </c>
      <c r="AJ42" s="174" t="s">
        <v>102</v>
      </c>
    </row>
    <row r="43" spans="1:36" x14ac:dyDescent="0.25">
      <c r="A43" s="287" t="s">
        <v>66</v>
      </c>
      <c r="B43" s="141" t="s">
        <v>52</v>
      </c>
      <c r="C43" s="161">
        <v>1</v>
      </c>
      <c r="D43" s="152">
        <v>1</v>
      </c>
      <c r="E43" s="75">
        <f>$D$6*$D$24*D43*C43</f>
        <v>18</v>
      </c>
      <c r="F43" s="152">
        <v>1</v>
      </c>
      <c r="G43" s="75">
        <f>$F$40*$F$41*F43*C43</f>
        <v>10.5</v>
      </c>
      <c r="H43" s="152">
        <v>1</v>
      </c>
      <c r="I43" s="75">
        <f>$H$25*$H$24*H43*C43</f>
        <v>2</v>
      </c>
      <c r="J43" s="152">
        <v>1</v>
      </c>
      <c r="K43" s="75">
        <f>$J$25*$J$24*J43*C43</f>
        <v>2</v>
      </c>
      <c r="L43" s="152">
        <v>0</v>
      </c>
      <c r="M43" s="75">
        <f>$L$5*$L$6*L43*C43</f>
        <v>0</v>
      </c>
      <c r="N43" s="152">
        <v>0</v>
      </c>
      <c r="O43" s="75">
        <f>$N$5*$N$6*N43*C43</f>
        <v>0</v>
      </c>
      <c r="P43" s="159">
        <f>E43+G43+I43+K43+M43+O43</f>
        <v>32.5</v>
      </c>
      <c r="Q43" s="170"/>
      <c r="R43" s="152"/>
      <c r="S43" s="151"/>
      <c r="T43" s="155"/>
      <c r="U43" s="75"/>
      <c r="V43" s="155"/>
      <c r="W43" s="75"/>
      <c r="X43" s="155"/>
      <c r="Y43" s="75"/>
      <c r="Z43" s="155"/>
      <c r="AA43" s="75"/>
      <c r="AB43" s="155"/>
      <c r="AC43" s="75"/>
      <c r="AD43" s="155"/>
      <c r="AE43" s="75"/>
      <c r="AF43" s="155"/>
      <c r="AG43" s="75"/>
      <c r="AH43" s="155"/>
      <c r="AI43" s="75"/>
      <c r="AJ43" s="174">
        <f>S43+U43+W43+Y43+AA43+AC43+AE43+AG43+AI43</f>
        <v>0</v>
      </c>
    </row>
    <row r="44" spans="1:36" x14ac:dyDescent="0.25">
      <c r="A44" s="287"/>
      <c r="B44" s="141" t="s">
        <v>55</v>
      </c>
      <c r="C44" s="161">
        <v>3</v>
      </c>
      <c r="D44" s="152">
        <v>0</v>
      </c>
      <c r="E44" s="75">
        <f t="shared" ref="E44:E51" si="17">$D$6*$D$24*D44*C44</f>
        <v>0</v>
      </c>
      <c r="F44" s="152">
        <v>1</v>
      </c>
      <c r="G44" s="75">
        <f t="shared" ref="G44:G50" si="18">$F$40*$F$41*F44*C44</f>
        <v>31.5</v>
      </c>
      <c r="H44" s="152">
        <v>0</v>
      </c>
      <c r="I44" s="75">
        <f t="shared" ref="I44:I51" si="19">$H$25*$H$24*H44*C44</f>
        <v>0</v>
      </c>
      <c r="J44" s="152">
        <v>0</v>
      </c>
      <c r="K44" s="75">
        <f t="shared" ref="K44:K51" si="20">$J$25*$J$24*J44*C44</f>
        <v>0</v>
      </c>
      <c r="L44" s="152">
        <v>0</v>
      </c>
      <c r="M44" s="75">
        <f>($L$5*$L$6*L44*C44)/3</f>
        <v>0</v>
      </c>
      <c r="N44" s="152">
        <v>0.33300000000000002</v>
      </c>
      <c r="O44" s="75">
        <f t="shared" ref="O44:O51" si="21">$N$5*$N$6*N44*C44</f>
        <v>13.986000000000001</v>
      </c>
      <c r="P44" s="159">
        <f t="shared" ref="P44:P50" si="22">E44+G44+I44+K44+M44+O44</f>
        <v>45.486000000000004</v>
      </c>
      <c r="Q44" s="170">
        <v>1</v>
      </c>
      <c r="R44" s="152">
        <v>1</v>
      </c>
      <c r="S44" s="75">
        <f>$R$25*$R$24*R44*Q44</f>
        <v>120</v>
      </c>
      <c r="T44" s="155"/>
      <c r="U44" s="75"/>
      <c r="V44" s="155">
        <v>1</v>
      </c>
      <c r="W44" s="75">
        <f>$V$25*$V$24*V44*Q44</f>
        <v>81</v>
      </c>
      <c r="X44" s="155"/>
      <c r="Y44" s="75"/>
      <c r="Z44" s="155">
        <v>1</v>
      </c>
      <c r="AA44" s="75">
        <f>Z44*Z40*Z41*Q44</f>
        <v>120</v>
      </c>
      <c r="AB44" s="155"/>
      <c r="AC44" s="75"/>
      <c r="AD44" s="155">
        <v>1</v>
      </c>
      <c r="AE44" s="75">
        <f>AD44*Q44*AD41*AD40</f>
        <v>72</v>
      </c>
      <c r="AF44" s="155">
        <v>1</v>
      </c>
      <c r="AG44" s="75">
        <f>AF44*AF41*AF40*Q44</f>
        <v>42</v>
      </c>
      <c r="AH44" s="155"/>
      <c r="AI44" s="75"/>
      <c r="AJ44" s="174">
        <f t="shared" ref="AJ44:AJ51" si="23">S44+U44+W44+Y44+AA44+AC44+AE44+AG44+AI44</f>
        <v>435</v>
      </c>
    </row>
    <row r="45" spans="1:36" x14ac:dyDescent="0.25">
      <c r="A45" s="297" t="s">
        <v>67</v>
      </c>
      <c r="B45" s="141" t="s">
        <v>53</v>
      </c>
      <c r="C45" s="161">
        <v>1</v>
      </c>
      <c r="D45" s="152">
        <v>1</v>
      </c>
      <c r="E45" s="75">
        <f t="shared" si="17"/>
        <v>18</v>
      </c>
      <c r="F45" s="152">
        <v>1</v>
      </c>
      <c r="G45" s="75">
        <f t="shared" si="18"/>
        <v>10.5</v>
      </c>
      <c r="H45" s="152">
        <v>1</v>
      </c>
      <c r="I45" s="75">
        <f t="shared" si="19"/>
        <v>2</v>
      </c>
      <c r="J45" s="152">
        <v>1</v>
      </c>
      <c r="K45" s="75">
        <f t="shared" si="20"/>
        <v>2</v>
      </c>
      <c r="L45" s="152">
        <v>0</v>
      </c>
      <c r="M45" s="75">
        <f t="shared" ref="M45" si="24">$L$5*$L$6*L45*C45</f>
        <v>0</v>
      </c>
      <c r="N45" s="152">
        <v>0</v>
      </c>
      <c r="O45" s="75">
        <f t="shared" si="21"/>
        <v>0</v>
      </c>
      <c r="P45" s="159">
        <f t="shared" si="22"/>
        <v>32.5</v>
      </c>
      <c r="Q45" s="170">
        <v>1</v>
      </c>
      <c r="R45" s="152"/>
      <c r="S45" s="75"/>
      <c r="T45" s="155"/>
      <c r="U45" s="75"/>
      <c r="V45" s="155"/>
      <c r="W45" s="75"/>
      <c r="X45" s="155"/>
      <c r="Y45" s="75"/>
      <c r="Z45" s="155"/>
      <c r="AA45" s="75"/>
      <c r="AB45" s="155"/>
      <c r="AC45" s="75"/>
      <c r="AD45" s="155"/>
      <c r="AE45" s="75"/>
      <c r="AF45" s="155"/>
      <c r="AG45" s="75"/>
      <c r="AH45" s="155">
        <v>1</v>
      </c>
      <c r="AI45" s="75">
        <f>AH45*Q45*AH41*AH40</f>
        <v>60</v>
      </c>
      <c r="AJ45" s="174">
        <f t="shared" si="23"/>
        <v>60</v>
      </c>
    </row>
    <row r="46" spans="1:36" x14ac:dyDescent="0.25">
      <c r="A46" s="297"/>
      <c r="B46" s="141" t="s">
        <v>56</v>
      </c>
      <c r="C46" s="161">
        <v>3</v>
      </c>
      <c r="D46" s="152">
        <v>0</v>
      </c>
      <c r="E46" s="75">
        <f t="shared" si="17"/>
        <v>0</v>
      </c>
      <c r="F46" s="152">
        <v>1</v>
      </c>
      <c r="G46" s="75">
        <f t="shared" si="18"/>
        <v>31.5</v>
      </c>
      <c r="H46" s="152">
        <v>0</v>
      </c>
      <c r="I46" s="75">
        <f t="shared" si="19"/>
        <v>0</v>
      </c>
      <c r="J46" s="152">
        <v>0</v>
      </c>
      <c r="K46" s="75">
        <f t="shared" si="20"/>
        <v>0</v>
      </c>
      <c r="L46" s="152">
        <v>0</v>
      </c>
      <c r="M46" s="75">
        <f>($L$5*$L$6*L46*C46)/3</f>
        <v>0</v>
      </c>
      <c r="N46" s="152">
        <v>0.33300000000000002</v>
      </c>
      <c r="O46" s="75">
        <f t="shared" si="21"/>
        <v>13.986000000000001</v>
      </c>
      <c r="P46" s="159">
        <f t="shared" si="22"/>
        <v>45.486000000000004</v>
      </c>
      <c r="Q46" s="170">
        <v>1</v>
      </c>
      <c r="R46" s="152"/>
      <c r="S46" s="75"/>
      <c r="T46" s="155">
        <v>1</v>
      </c>
      <c r="U46" s="75">
        <f>$T$25*$T$24*T46*Q46</f>
        <v>120</v>
      </c>
      <c r="V46" s="155"/>
      <c r="W46" s="75"/>
      <c r="X46" s="155">
        <v>1</v>
      </c>
      <c r="Y46" s="75">
        <f>$X$24*$X$25*Q46*X46</f>
        <v>51</v>
      </c>
      <c r="Z46" s="155"/>
      <c r="AA46" s="75"/>
      <c r="AB46" s="155">
        <v>1</v>
      </c>
      <c r="AC46" s="75">
        <f>AB46*Q46*AB41*AB40</f>
        <v>168</v>
      </c>
      <c r="AD46" s="155"/>
      <c r="AE46" s="75"/>
      <c r="AF46" s="155"/>
      <c r="AG46" s="75"/>
      <c r="AH46" s="155">
        <v>1</v>
      </c>
      <c r="AI46" s="75">
        <f>AH46*Q46*AH41*AH40</f>
        <v>60</v>
      </c>
      <c r="AJ46" s="174">
        <f t="shared" si="23"/>
        <v>399</v>
      </c>
    </row>
    <row r="47" spans="1:36" x14ac:dyDescent="0.25">
      <c r="A47" s="287" t="s">
        <v>68</v>
      </c>
      <c r="B47" s="141" t="s">
        <v>54</v>
      </c>
      <c r="C47" s="161">
        <v>1</v>
      </c>
      <c r="D47" s="152">
        <v>1</v>
      </c>
      <c r="E47" s="75">
        <f t="shared" si="17"/>
        <v>18</v>
      </c>
      <c r="F47" s="152">
        <v>0</v>
      </c>
      <c r="G47" s="75">
        <f t="shared" si="18"/>
        <v>0</v>
      </c>
      <c r="H47" s="152">
        <v>1</v>
      </c>
      <c r="I47" s="75">
        <f t="shared" si="19"/>
        <v>2</v>
      </c>
      <c r="J47" s="152">
        <v>1</v>
      </c>
      <c r="K47" s="75">
        <f t="shared" si="20"/>
        <v>2</v>
      </c>
      <c r="L47" s="152">
        <v>0</v>
      </c>
      <c r="M47" s="75">
        <f t="shared" ref="M47:M51" si="25">$L$5*$L$6*L47*C47</f>
        <v>0</v>
      </c>
      <c r="N47" s="152">
        <v>0</v>
      </c>
      <c r="O47" s="75">
        <f t="shared" si="21"/>
        <v>0</v>
      </c>
      <c r="P47" s="159">
        <f t="shared" si="22"/>
        <v>22</v>
      </c>
      <c r="Q47" s="170"/>
      <c r="R47" s="152"/>
      <c r="S47" s="75"/>
      <c r="T47" s="155"/>
      <c r="U47" s="75"/>
      <c r="V47" s="155"/>
      <c r="W47" s="75"/>
      <c r="X47" s="155"/>
      <c r="Y47" s="75"/>
      <c r="Z47" s="155"/>
      <c r="AA47" s="75"/>
      <c r="AB47" s="155"/>
      <c r="AC47" s="75"/>
      <c r="AD47" s="155"/>
      <c r="AE47" s="75"/>
      <c r="AF47" s="155"/>
      <c r="AG47" s="75"/>
      <c r="AH47" s="155"/>
      <c r="AI47" s="75"/>
      <c r="AJ47" s="174">
        <f t="shared" si="23"/>
        <v>0</v>
      </c>
    </row>
    <row r="48" spans="1:36" x14ac:dyDescent="0.25">
      <c r="A48" s="287"/>
      <c r="B48" s="141" t="s">
        <v>72</v>
      </c>
      <c r="C48" s="161">
        <v>1</v>
      </c>
      <c r="D48" s="152">
        <v>0.5</v>
      </c>
      <c r="E48" s="75">
        <f t="shared" si="17"/>
        <v>9</v>
      </c>
      <c r="F48" s="152">
        <v>0</v>
      </c>
      <c r="G48" s="75">
        <f t="shared" si="18"/>
        <v>0</v>
      </c>
      <c r="H48" s="152">
        <v>0</v>
      </c>
      <c r="I48" s="75">
        <f t="shared" si="19"/>
        <v>0</v>
      </c>
      <c r="J48" s="152">
        <v>0</v>
      </c>
      <c r="K48" s="75">
        <f t="shared" si="20"/>
        <v>0</v>
      </c>
      <c r="L48" s="152">
        <v>0</v>
      </c>
      <c r="M48" s="75">
        <f t="shared" si="25"/>
        <v>0</v>
      </c>
      <c r="N48" s="152">
        <v>0</v>
      </c>
      <c r="O48" s="75">
        <f t="shared" si="21"/>
        <v>0</v>
      </c>
      <c r="P48" s="159">
        <f t="shared" si="22"/>
        <v>9</v>
      </c>
      <c r="Q48" s="170"/>
      <c r="R48" s="152"/>
      <c r="S48" s="75"/>
      <c r="T48" s="155"/>
      <c r="U48" s="75"/>
      <c r="V48" s="155"/>
      <c r="W48" s="75"/>
      <c r="X48" s="155"/>
      <c r="Y48" s="75"/>
      <c r="Z48" s="155"/>
      <c r="AA48" s="75"/>
      <c r="AB48" s="155"/>
      <c r="AC48" s="75"/>
      <c r="AD48" s="155"/>
      <c r="AE48" s="75"/>
      <c r="AF48" s="155"/>
      <c r="AG48" s="75"/>
      <c r="AH48" s="155"/>
      <c r="AI48" s="75"/>
      <c r="AJ48" s="174">
        <f t="shared" si="23"/>
        <v>0</v>
      </c>
    </row>
    <row r="49" spans="1:36" x14ac:dyDescent="0.25">
      <c r="A49" s="287"/>
      <c r="B49" s="141" t="s">
        <v>46</v>
      </c>
      <c r="C49" s="161">
        <v>7</v>
      </c>
      <c r="D49" s="152">
        <v>0</v>
      </c>
      <c r="E49" s="75">
        <f t="shared" si="17"/>
        <v>0</v>
      </c>
      <c r="F49" s="152">
        <v>1</v>
      </c>
      <c r="G49" s="75">
        <f t="shared" si="18"/>
        <v>73.5</v>
      </c>
      <c r="H49" s="152">
        <v>0</v>
      </c>
      <c r="I49" s="75">
        <f t="shared" si="19"/>
        <v>0</v>
      </c>
      <c r="J49" s="152">
        <v>0</v>
      </c>
      <c r="K49" s="75">
        <f t="shared" si="20"/>
        <v>0</v>
      </c>
      <c r="L49" s="152">
        <v>0</v>
      </c>
      <c r="M49" s="75">
        <f t="shared" si="25"/>
        <v>0</v>
      </c>
      <c r="N49" s="152">
        <f>1/C49</f>
        <v>0.14285714285714285</v>
      </c>
      <c r="O49" s="75">
        <f t="shared" si="21"/>
        <v>14</v>
      </c>
      <c r="P49" s="159">
        <f t="shared" si="22"/>
        <v>87.5</v>
      </c>
      <c r="Q49" s="170">
        <v>1</v>
      </c>
      <c r="R49" s="152">
        <v>0</v>
      </c>
      <c r="S49" s="75">
        <f>$R$5*$R$6*R49*Q49</f>
        <v>0</v>
      </c>
      <c r="T49" s="155">
        <v>0</v>
      </c>
      <c r="U49" s="75">
        <f>$T$5*$T$6*T49*Q49</f>
        <v>0</v>
      </c>
      <c r="V49" s="155">
        <v>1</v>
      </c>
      <c r="W49" s="75">
        <f>$V$25*$V$24*V49*Q49</f>
        <v>81</v>
      </c>
      <c r="X49" s="155">
        <v>1</v>
      </c>
      <c r="Y49" s="75">
        <f>$X$24*$X$25*Q49*X49</f>
        <v>51</v>
      </c>
      <c r="Z49" s="155"/>
      <c r="AA49" s="75"/>
      <c r="AB49" s="155"/>
      <c r="AC49" s="75"/>
      <c r="AD49" s="155"/>
      <c r="AE49" s="75"/>
      <c r="AF49" s="155"/>
      <c r="AG49" s="75"/>
      <c r="AH49" s="155"/>
      <c r="AI49" s="75"/>
      <c r="AJ49" s="174">
        <f t="shared" si="23"/>
        <v>132</v>
      </c>
    </row>
    <row r="50" spans="1:36" x14ac:dyDescent="0.25">
      <c r="A50" s="287"/>
      <c r="B50" s="141" t="s">
        <v>57</v>
      </c>
      <c r="C50" s="161">
        <v>1</v>
      </c>
      <c r="D50" s="152">
        <v>1</v>
      </c>
      <c r="E50" s="75">
        <f t="shared" si="17"/>
        <v>18</v>
      </c>
      <c r="F50" s="152">
        <v>1</v>
      </c>
      <c r="G50" s="75">
        <f t="shared" si="18"/>
        <v>10.5</v>
      </c>
      <c r="H50" s="152">
        <v>1</v>
      </c>
      <c r="I50" s="75">
        <f t="shared" si="19"/>
        <v>2</v>
      </c>
      <c r="J50" s="152">
        <v>1</v>
      </c>
      <c r="K50" s="75">
        <f t="shared" si="20"/>
        <v>2</v>
      </c>
      <c r="L50" s="152">
        <v>0</v>
      </c>
      <c r="M50" s="75">
        <f t="shared" si="25"/>
        <v>0</v>
      </c>
      <c r="N50" s="152">
        <v>1</v>
      </c>
      <c r="O50" s="75">
        <f t="shared" si="21"/>
        <v>14</v>
      </c>
      <c r="P50" s="159">
        <f t="shared" si="22"/>
        <v>46.5</v>
      </c>
      <c r="Q50" s="170"/>
      <c r="R50" s="152"/>
      <c r="S50" s="75"/>
      <c r="T50" s="155"/>
      <c r="U50" s="75"/>
      <c r="V50" s="155"/>
      <c r="W50" s="75"/>
      <c r="X50" s="155"/>
      <c r="Y50" s="75"/>
      <c r="Z50" s="155"/>
      <c r="AA50" s="75"/>
      <c r="AB50" s="155"/>
      <c r="AC50" s="75"/>
      <c r="AD50" s="155"/>
      <c r="AE50" s="75"/>
      <c r="AF50" s="155"/>
      <c r="AG50" s="75"/>
      <c r="AH50" s="155"/>
      <c r="AI50" s="75"/>
      <c r="AJ50" s="174">
        <f t="shared" si="23"/>
        <v>0</v>
      </c>
    </row>
    <row r="51" spans="1:36" ht="15.75" thickBot="1" x14ac:dyDescent="0.3">
      <c r="A51" s="288"/>
      <c r="B51" s="166" t="s">
        <v>130</v>
      </c>
      <c r="C51" s="162">
        <v>1</v>
      </c>
      <c r="D51" s="153" t="s">
        <v>33</v>
      </c>
      <c r="E51" s="163" t="e">
        <f t="shared" si="17"/>
        <v>#VALUE!</v>
      </c>
      <c r="F51" s="154" t="s">
        <v>65</v>
      </c>
      <c r="G51" s="163" t="e">
        <f>$F$25*$F$24*F51*C51</f>
        <v>#VALUE!</v>
      </c>
      <c r="H51" s="153">
        <v>0</v>
      </c>
      <c r="I51" s="163">
        <f t="shared" si="19"/>
        <v>0</v>
      </c>
      <c r="J51" s="153">
        <v>0</v>
      </c>
      <c r="K51" s="163">
        <f t="shared" si="20"/>
        <v>0</v>
      </c>
      <c r="L51" s="153">
        <v>0</v>
      </c>
      <c r="M51" s="163">
        <f t="shared" si="25"/>
        <v>0</v>
      </c>
      <c r="N51" s="153">
        <v>0</v>
      </c>
      <c r="O51" s="163">
        <f t="shared" si="21"/>
        <v>0</v>
      </c>
      <c r="P51" s="160">
        <v>3</v>
      </c>
      <c r="Q51" s="172"/>
      <c r="R51" s="156"/>
      <c r="S51" s="173"/>
      <c r="T51" s="157"/>
      <c r="U51" s="173"/>
      <c r="V51" s="157"/>
      <c r="W51" s="173"/>
      <c r="X51" s="157"/>
      <c r="Y51" s="173"/>
      <c r="Z51" s="157"/>
      <c r="AA51" s="173"/>
      <c r="AB51" s="157"/>
      <c r="AC51" s="173"/>
      <c r="AD51" s="157"/>
      <c r="AE51" s="173"/>
      <c r="AF51" s="157"/>
      <c r="AG51" s="173"/>
      <c r="AH51" s="157"/>
      <c r="AI51" s="173"/>
      <c r="AJ51" s="175">
        <f t="shared" si="23"/>
        <v>0</v>
      </c>
    </row>
  </sheetData>
  <mergeCells count="162">
    <mergeCell ref="A38:B38"/>
    <mergeCell ref="X6:Y6"/>
    <mergeCell ref="AH4:AI4"/>
    <mergeCell ref="AH5:AI5"/>
    <mergeCell ref="AH6:AI6"/>
    <mergeCell ref="C3:P3"/>
    <mergeCell ref="Q3:AJ3"/>
    <mergeCell ref="P4:P6"/>
    <mergeCell ref="AJ4:AJ6"/>
    <mergeCell ref="AD4:AE4"/>
    <mergeCell ref="AD5:AE5"/>
    <mergeCell ref="AD6:AE6"/>
    <mergeCell ref="AF4:AG4"/>
    <mergeCell ref="AF5:AG5"/>
    <mergeCell ref="AF6:AG6"/>
    <mergeCell ref="Z4:AA4"/>
    <mergeCell ref="Z5:AA5"/>
    <mergeCell ref="Z6:AA6"/>
    <mergeCell ref="F4:G4"/>
    <mergeCell ref="F5:G5"/>
    <mergeCell ref="F6:G6"/>
    <mergeCell ref="H4:I4"/>
    <mergeCell ref="H5:I5"/>
    <mergeCell ref="H6:I6"/>
    <mergeCell ref="A8:A9"/>
    <mergeCell ref="A10:A11"/>
    <mergeCell ref="A12:A16"/>
    <mergeCell ref="D4:E4"/>
    <mergeCell ref="D5:E5"/>
    <mergeCell ref="D6:E6"/>
    <mergeCell ref="A4:A6"/>
    <mergeCell ref="AB23:AC23"/>
    <mergeCell ref="N4:O4"/>
    <mergeCell ref="N5:O5"/>
    <mergeCell ref="N6:O6"/>
    <mergeCell ref="J4:K4"/>
    <mergeCell ref="J5:K5"/>
    <mergeCell ref="J6:K6"/>
    <mergeCell ref="L4:M4"/>
    <mergeCell ref="L5:M5"/>
    <mergeCell ref="L6:M6"/>
    <mergeCell ref="R4:S4"/>
    <mergeCell ref="R5:S5"/>
    <mergeCell ref="R6:S6"/>
    <mergeCell ref="T4:U4"/>
    <mergeCell ref="T5:U5"/>
    <mergeCell ref="T6:U6"/>
    <mergeCell ref="AB4:AC4"/>
    <mergeCell ref="AB5:AC5"/>
    <mergeCell ref="AB6:AC6"/>
    <mergeCell ref="V4:W4"/>
    <mergeCell ref="V5:W5"/>
    <mergeCell ref="V6:W6"/>
    <mergeCell ref="X4:Y4"/>
    <mergeCell ref="X5:Y5"/>
    <mergeCell ref="A23:A25"/>
    <mergeCell ref="D23:E23"/>
    <mergeCell ref="F23:G23"/>
    <mergeCell ref="H23:I23"/>
    <mergeCell ref="J23:K23"/>
    <mergeCell ref="L23:M23"/>
    <mergeCell ref="N23:O23"/>
    <mergeCell ref="P23:P25"/>
    <mergeCell ref="R23:S23"/>
    <mergeCell ref="X25:Y25"/>
    <mergeCell ref="Z25:AA25"/>
    <mergeCell ref="AB25:AC25"/>
    <mergeCell ref="J25:K25"/>
    <mergeCell ref="L25:M25"/>
    <mergeCell ref="N25:O25"/>
    <mergeCell ref="R25:S25"/>
    <mergeCell ref="T25:U25"/>
    <mergeCell ref="AD23:AE23"/>
    <mergeCell ref="AF23:AG23"/>
    <mergeCell ref="AH23:AI23"/>
    <mergeCell ref="AJ23:AJ25"/>
    <mergeCell ref="D24:E24"/>
    <mergeCell ref="F24:G24"/>
    <mergeCell ref="H24:I24"/>
    <mergeCell ref="J24:K24"/>
    <mergeCell ref="L24:M24"/>
    <mergeCell ref="N24:O24"/>
    <mergeCell ref="R24:S24"/>
    <mergeCell ref="T24:U24"/>
    <mergeCell ref="V24:W24"/>
    <mergeCell ref="X24:Y24"/>
    <mergeCell ref="Z24:AA24"/>
    <mergeCell ref="AB24:AC24"/>
    <mergeCell ref="T23:U23"/>
    <mergeCell ref="V23:W23"/>
    <mergeCell ref="X23:Y23"/>
    <mergeCell ref="Z23:AA23"/>
    <mergeCell ref="D25:E25"/>
    <mergeCell ref="F25:G25"/>
    <mergeCell ref="H25:I25"/>
    <mergeCell ref="AH24:AI24"/>
    <mergeCell ref="C22:AJ22"/>
    <mergeCell ref="C38:AJ38"/>
    <mergeCell ref="A39:A41"/>
    <mergeCell ref="D39:E39"/>
    <mergeCell ref="F39:G39"/>
    <mergeCell ref="H39:I39"/>
    <mergeCell ref="J39:K39"/>
    <mergeCell ref="L39:M39"/>
    <mergeCell ref="N39:O39"/>
    <mergeCell ref="P39:P41"/>
    <mergeCell ref="R39:S39"/>
    <mergeCell ref="T39:U39"/>
    <mergeCell ref="V39:W39"/>
    <mergeCell ref="X39:Y39"/>
    <mergeCell ref="Z39:AA39"/>
    <mergeCell ref="AB39:AC39"/>
    <mergeCell ref="AF25:AG25"/>
    <mergeCell ref="AH25:AI25"/>
    <mergeCell ref="A27:A28"/>
    <mergeCell ref="A29:A30"/>
    <mergeCell ref="A31:A35"/>
    <mergeCell ref="AD24:AE24"/>
    <mergeCell ref="AF24:AG24"/>
    <mergeCell ref="AD25:AE25"/>
    <mergeCell ref="V25:W25"/>
    <mergeCell ref="A22:B22"/>
    <mergeCell ref="A2:AJ2"/>
    <mergeCell ref="A1:AJ1"/>
    <mergeCell ref="A3:B3"/>
    <mergeCell ref="AF41:AG41"/>
    <mergeCell ref="AH41:AI41"/>
    <mergeCell ref="A43:A44"/>
    <mergeCell ref="A45:A46"/>
    <mergeCell ref="AD41:AE41"/>
    <mergeCell ref="AD39:AE39"/>
    <mergeCell ref="AF39:AG39"/>
    <mergeCell ref="AH39:AI39"/>
    <mergeCell ref="AJ39:AJ41"/>
    <mergeCell ref="D40:E40"/>
    <mergeCell ref="F40:G40"/>
    <mergeCell ref="H40:I40"/>
    <mergeCell ref="J40:K40"/>
    <mergeCell ref="L40:M40"/>
    <mergeCell ref="N40:O40"/>
    <mergeCell ref="R40:S40"/>
    <mergeCell ref="T40:U40"/>
    <mergeCell ref="V40:W40"/>
    <mergeCell ref="X40:Y40"/>
    <mergeCell ref="A47:A51"/>
    <mergeCell ref="AD40:AE40"/>
    <mergeCell ref="AF40:AG40"/>
    <mergeCell ref="AH40:AI40"/>
    <mergeCell ref="D41:E41"/>
    <mergeCell ref="F41:G41"/>
    <mergeCell ref="H41:I41"/>
    <mergeCell ref="J41:K41"/>
    <mergeCell ref="L41:M41"/>
    <mergeCell ref="N41:O41"/>
    <mergeCell ref="R41:S41"/>
    <mergeCell ref="T41:U41"/>
    <mergeCell ref="V41:W41"/>
    <mergeCell ref="X41:Y41"/>
    <mergeCell ref="Z41:AA41"/>
    <mergeCell ref="AB41:AC41"/>
    <mergeCell ref="Z40:AA40"/>
    <mergeCell ref="AB40:AC40"/>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K27"/>
  <sheetViews>
    <sheetView topLeftCell="A8" workbookViewId="0">
      <selection activeCell="B16" sqref="B16"/>
    </sheetView>
  </sheetViews>
  <sheetFormatPr baseColWidth="10" defaultRowHeight="18.75" x14ac:dyDescent="0.25"/>
  <cols>
    <col min="1" max="1" width="3.85546875" style="8" customWidth="1"/>
    <col min="2" max="2" width="216.85546875" customWidth="1"/>
  </cols>
  <sheetData>
    <row r="1" spans="1:37" ht="53.25" customHeight="1" x14ac:dyDescent="0.25">
      <c r="A1" s="294" t="s">
        <v>115</v>
      </c>
      <c r="B1" s="270"/>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row>
    <row r="2" spans="1:37" ht="26.25" x14ac:dyDescent="0.4">
      <c r="A2" s="320" t="s">
        <v>44</v>
      </c>
      <c r="B2" s="320"/>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85"/>
    </row>
    <row r="3" spans="1:37" ht="6" customHeight="1" x14ac:dyDescent="0.25">
      <c r="A3"/>
      <c r="E3" s="11"/>
      <c r="F3" s="3"/>
      <c r="G3" s="3"/>
      <c r="H3" s="1"/>
      <c r="I3" s="6"/>
      <c r="J3" s="1"/>
      <c r="K3" s="1"/>
      <c r="L3" s="1"/>
      <c r="M3" s="1"/>
      <c r="N3" s="1"/>
      <c r="O3" s="1"/>
      <c r="P3" s="1"/>
      <c r="Q3" s="1"/>
      <c r="R3" s="1"/>
    </row>
    <row r="4" spans="1:37" x14ac:dyDescent="0.25">
      <c r="A4" s="8" t="s">
        <v>6</v>
      </c>
      <c r="B4" s="8" t="s">
        <v>21</v>
      </c>
    </row>
    <row r="5" spans="1:37" s="263" customFormat="1" ht="32.25" customHeight="1" x14ac:dyDescent="0.25">
      <c r="A5" s="8">
        <v>1</v>
      </c>
      <c r="B5" s="262" t="s">
        <v>143</v>
      </c>
    </row>
    <row r="6" spans="1:37" s="263" customFormat="1" ht="21.75" customHeight="1" x14ac:dyDescent="0.25">
      <c r="A6" s="8">
        <f>A5+1</f>
        <v>2</v>
      </c>
      <c r="B6" s="262" t="s">
        <v>145</v>
      </c>
    </row>
    <row r="7" spans="1:37" s="263" customFormat="1" ht="21.75" customHeight="1" x14ac:dyDescent="0.25">
      <c r="A7" s="8">
        <f>A6+1</f>
        <v>3</v>
      </c>
      <c r="B7" s="262" t="s">
        <v>156</v>
      </c>
    </row>
    <row r="8" spans="1:37" s="263" customFormat="1" ht="21.75" customHeight="1" x14ac:dyDescent="0.25">
      <c r="A8" s="8">
        <f>A7+1</f>
        <v>4</v>
      </c>
      <c r="B8" s="262" t="s">
        <v>148</v>
      </c>
    </row>
    <row r="9" spans="1:37" s="263" customFormat="1" ht="21.75" customHeight="1" x14ac:dyDescent="0.25">
      <c r="A9" s="8">
        <f>A8+1</f>
        <v>5</v>
      </c>
      <c r="B9" s="262" t="s">
        <v>151</v>
      </c>
    </row>
    <row r="10" spans="1:37" s="263" customFormat="1" ht="21.75" customHeight="1" x14ac:dyDescent="0.25">
      <c r="A10" s="8">
        <f t="shared" ref="A10:A14" si="0">A9+1</f>
        <v>6</v>
      </c>
      <c r="B10" s="262" t="s">
        <v>152</v>
      </c>
    </row>
    <row r="11" spans="1:37" s="263" customFormat="1" ht="21.75" customHeight="1" x14ac:dyDescent="0.25">
      <c r="A11" s="8">
        <f t="shared" si="0"/>
        <v>7</v>
      </c>
      <c r="B11" s="265" t="s">
        <v>153</v>
      </c>
    </row>
    <row r="12" spans="1:37" s="263" customFormat="1" ht="21.75" customHeight="1" x14ac:dyDescent="0.25">
      <c r="A12" s="8">
        <f t="shared" si="0"/>
        <v>8</v>
      </c>
      <c r="B12" s="266" t="s">
        <v>155</v>
      </c>
    </row>
    <row r="13" spans="1:37" s="263" customFormat="1" ht="21.75" customHeight="1" x14ac:dyDescent="0.25">
      <c r="A13" s="8">
        <f t="shared" si="0"/>
        <v>9</v>
      </c>
      <c r="B13" s="266" t="s">
        <v>157</v>
      </c>
    </row>
    <row r="14" spans="1:37" s="263" customFormat="1" ht="48" customHeight="1" x14ac:dyDescent="0.25">
      <c r="A14" s="8">
        <f t="shared" si="0"/>
        <v>10</v>
      </c>
      <c r="B14" s="258" t="s">
        <v>136</v>
      </c>
    </row>
    <row r="15" spans="1:37" s="263" customFormat="1" ht="31.5" x14ac:dyDescent="0.25">
      <c r="A15" s="8">
        <f t="shared" ref="A15:A27" si="1">A14+1</f>
        <v>11</v>
      </c>
      <c r="B15" s="262" t="s">
        <v>134</v>
      </c>
    </row>
    <row r="16" spans="1:37" s="263" customFormat="1" ht="31.5" x14ac:dyDescent="0.25">
      <c r="A16" s="8">
        <f t="shared" si="1"/>
        <v>12</v>
      </c>
      <c r="B16" s="258" t="s">
        <v>135</v>
      </c>
    </row>
    <row r="17" spans="1:2" s="263" customFormat="1" ht="31.5" x14ac:dyDescent="0.25">
      <c r="A17" s="8">
        <f t="shared" si="1"/>
        <v>13</v>
      </c>
      <c r="B17" s="258" t="s">
        <v>137</v>
      </c>
    </row>
    <row r="18" spans="1:2" s="263" customFormat="1" x14ac:dyDescent="0.25">
      <c r="A18" s="8">
        <f t="shared" si="1"/>
        <v>14</v>
      </c>
      <c r="B18" s="264" t="s">
        <v>138</v>
      </c>
    </row>
    <row r="19" spans="1:2" s="263" customFormat="1" ht="31.5" x14ac:dyDescent="0.25">
      <c r="A19" s="8">
        <f t="shared" si="1"/>
        <v>15</v>
      </c>
      <c r="B19" s="258" t="s">
        <v>139</v>
      </c>
    </row>
    <row r="20" spans="1:2" s="263" customFormat="1" x14ac:dyDescent="0.25">
      <c r="A20" s="8">
        <f t="shared" si="1"/>
        <v>16</v>
      </c>
      <c r="B20" s="9" t="s">
        <v>197</v>
      </c>
    </row>
    <row r="21" spans="1:2" s="263" customFormat="1" x14ac:dyDescent="0.25">
      <c r="A21" s="8">
        <f t="shared" si="1"/>
        <v>17</v>
      </c>
      <c r="B21" s="9"/>
    </row>
    <row r="22" spans="1:2" s="263" customFormat="1" x14ac:dyDescent="0.25">
      <c r="A22" s="8">
        <f t="shared" si="1"/>
        <v>18</v>
      </c>
    </row>
    <row r="23" spans="1:2" s="263" customFormat="1" x14ac:dyDescent="0.25">
      <c r="A23" s="8">
        <f t="shared" si="1"/>
        <v>19</v>
      </c>
      <c r="B23" s="49"/>
    </row>
    <row r="24" spans="1:2" s="263" customFormat="1" x14ac:dyDescent="0.25">
      <c r="A24" s="8">
        <f t="shared" si="1"/>
        <v>20</v>
      </c>
      <c r="B24" s="9"/>
    </row>
    <row r="25" spans="1:2" s="263" customFormat="1" x14ac:dyDescent="0.25">
      <c r="A25" s="8">
        <f t="shared" si="1"/>
        <v>21</v>
      </c>
      <c r="B25" s="9"/>
    </row>
    <row r="26" spans="1:2" s="260" customFormat="1" x14ac:dyDescent="0.3">
      <c r="A26" s="259">
        <f t="shared" si="1"/>
        <v>22</v>
      </c>
      <c r="B26" s="261"/>
    </row>
    <row r="27" spans="1:2" s="260" customFormat="1" x14ac:dyDescent="0.3">
      <c r="A27" s="259">
        <f t="shared" si="1"/>
        <v>23</v>
      </c>
    </row>
  </sheetData>
  <mergeCells count="2">
    <mergeCell ref="A2:B2"/>
    <mergeCell ref="A1:B1"/>
  </mergeCells>
  <pageMargins left="0.7" right="0.7" top="0.75" bottom="0.75" header="0.3" footer="0.3"/>
  <pageSetup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69"/>
  <sheetViews>
    <sheetView tabSelected="1" topLeftCell="A4" zoomScaleNormal="100" workbookViewId="0">
      <selection activeCell="J19" sqref="J19"/>
    </sheetView>
  </sheetViews>
  <sheetFormatPr baseColWidth="10" defaultRowHeight="15" x14ac:dyDescent="0.25"/>
  <cols>
    <col min="1" max="3" width="1.28515625" customWidth="1"/>
    <col min="4" max="4" width="30.7109375" customWidth="1"/>
    <col min="5" max="5" width="4.28515625" style="11" customWidth="1"/>
    <col min="6" max="6" width="5.5703125" style="3" customWidth="1"/>
    <col min="7" max="7" width="11" style="3" customWidth="1"/>
    <col min="8" max="8" width="16.5703125" style="1" customWidth="1"/>
    <col min="9" max="9" width="4.7109375" style="6" customWidth="1"/>
    <col min="10" max="10" width="4.7109375" style="36" customWidth="1"/>
    <col min="11" max="11" width="11.140625" style="6" customWidth="1"/>
    <col min="12" max="12" width="16.7109375" style="1" customWidth="1"/>
    <col min="13" max="13" width="4.85546875" style="6" customWidth="1"/>
    <col min="14" max="14" width="4.28515625" style="6" customWidth="1"/>
    <col min="15" max="15" width="11.140625" style="6" customWidth="1"/>
    <col min="16" max="16" width="16.85546875" style="6" customWidth="1"/>
    <col min="17" max="17" width="5.140625" style="6" customWidth="1"/>
    <col min="18" max="18" width="1.28515625" customWidth="1"/>
  </cols>
  <sheetData>
    <row r="1" spans="1:18" ht="56.25" customHeight="1" x14ac:dyDescent="0.25">
      <c r="A1" s="294" t="str">
        <f>NOTES!A1</f>
        <v>PROJET NOVATEUR (APPEL DE PROPOSITIONS 2017): 
CISSS/BSL UNE VOIE PARTAGÉE / ADOLESCENTS - VICTIMES</v>
      </c>
      <c r="B1" s="294"/>
      <c r="C1" s="294"/>
      <c r="D1" s="294"/>
      <c r="E1" s="294"/>
      <c r="F1" s="294"/>
      <c r="G1" s="294"/>
      <c r="H1" s="294"/>
      <c r="I1" s="294"/>
      <c r="J1" s="294"/>
      <c r="K1" s="294"/>
      <c r="L1" s="294"/>
      <c r="M1" s="294"/>
      <c r="N1" s="294"/>
      <c r="O1" s="294"/>
      <c r="P1" s="294"/>
      <c r="Q1" s="294"/>
      <c r="R1" s="294"/>
    </row>
    <row r="2" spans="1:18" ht="26.25" x14ac:dyDescent="0.4">
      <c r="A2" s="322" t="s">
        <v>114</v>
      </c>
      <c r="B2" s="322"/>
      <c r="C2" s="322"/>
      <c r="D2" s="322"/>
      <c r="E2" s="322"/>
      <c r="F2" s="322"/>
      <c r="G2" s="322"/>
      <c r="H2" s="322"/>
      <c r="I2" s="322"/>
      <c r="J2" s="322"/>
      <c r="K2" s="322"/>
      <c r="L2" s="322"/>
      <c r="M2" s="322"/>
      <c r="N2" s="322"/>
      <c r="O2" s="322"/>
      <c r="P2" s="322"/>
      <c r="Q2" s="322"/>
      <c r="R2" s="322"/>
    </row>
    <row r="3" spans="1:18" ht="2.25" customHeight="1" x14ac:dyDescent="0.25"/>
    <row r="4" spans="1:18" s="10" customFormat="1" ht="21" x14ac:dyDescent="0.35">
      <c r="A4" s="38"/>
      <c r="B4" s="295" t="s">
        <v>7</v>
      </c>
      <c r="C4" s="295"/>
      <c r="D4" s="295"/>
      <c r="E4" s="295"/>
      <c r="F4" s="295"/>
      <c r="G4" s="295"/>
      <c r="H4" s="295"/>
      <c r="I4" s="295"/>
      <c r="J4" s="295"/>
      <c r="K4" s="295"/>
      <c r="L4" s="295"/>
      <c r="M4" s="295"/>
      <c r="N4" s="295"/>
      <c r="O4" s="295"/>
      <c r="P4" s="295"/>
      <c r="Q4" s="295"/>
      <c r="R4" s="38"/>
    </row>
    <row r="5" spans="1:18" s="15" customFormat="1" ht="16.5" customHeight="1" x14ac:dyDescent="0.25">
      <c r="A5" s="39"/>
      <c r="B5" s="328" t="s">
        <v>8</v>
      </c>
      <c r="C5" s="328"/>
      <c r="D5" s="328"/>
      <c r="E5" s="12" t="s">
        <v>9</v>
      </c>
      <c r="F5" s="7" t="s">
        <v>10</v>
      </c>
      <c r="G5" s="7" t="s">
        <v>11</v>
      </c>
      <c r="H5" s="14" t="s">
        <v>1</v>
      </c>
      <c r="I5" s="14" t="s">
        <v>33</v>
      </c>
      <c r="J5" s="189" t="s">
        <v>10</v>
      </c>
      <c r="K5" s="182" t="s">
        <v>11</v>
      </c>
      <c r="L5" s="75" t="s">
        <v>1</v>
      </c>
      <c r="M5" s="182" t="s">
        <v>33</v>
      </c>
      <c r="N5" s="186" t="s">
        <v>10</v>
      </c>
      <c r="O5" s="182" t="s">
        <v>11</v>
      </c>
      <c r="P5" s="182" t="s">
        <v>1</v>
      </c>
      <c r="Q5" s="182" t="s">
        <v>33</v>
      </c>
      <c r="R5" s="39"/>
    </row>
    <row r="6" spans="1:18" ht="16.5" customHeight="1" x14ac:dyDescent="0.25">
      <c r="A6" s="40"/>
      <c r="B6" s="20" t="s">
        <v>12</v>
      </c>
      <c r="C6" s="21"/>
      <c r="D6" s="21"/>
      <c r="E6" s="22"/>
      <c r="F6" s="23"/>
      <c r="G6" s="23"/>
      <c r="H6" s="24"/>
      <c r="I6" s="176"/>
      <c r="J6" s="324" t="s">
        <v>106</v>
      </c>
      <c r="K6" s="325"/>
      <c r="L6" s="325"/>
      <c r="M6" s="325"/>
      <c r="N6" s="326" t="s">
        <v>107</v>
      </c>
      <c r="O6" s="327"/>
      <c r="P6" s="327"/>
      <c r="Q6" s="327"/>
      <c r="R6" s="40"/>
    </row>
    <row r="7" spans="1:18" ht="16.5" customHeight="1" x14ac:dyDescent="0.25">
      <c r="A7" s="40"/>
      <c r="C7" s="43" t="s">
        <v>0</v>
      </c>
      <c r="D7" s="43"/>
      <c r="E7" s="41" t="s">
        <v>141</v>
      </c>
      <c r="F7" s="45">
        <v>1</v>
      </c>
      <c r="G7" s="211" t="s">
        <v>140</v>
      </c>
      <c r="I7" s="143">
        <f>(H8+H9)/H28</f>
        <v>0.38711922306256813</v>
      </c>
      <c r="J7" s="190"/>
      <c r="K7" s="204" t="str">
        <f>G7</f>
        <v>Déléguée J</v>
      </c>
      <c r="L7" s="65"/>
      <c r="M7" s="108">
        <f>SUM(L8:L9)/SUM(P8:P9)</f>
        <v>0</v>
      </c>
      <c r="N7" s="202"/>
      <c r="O7" s="204" t="str">
        <f>K7</f>
        <v>Déléguée J</v>
      </c>
      <c r="P7" s="108"/>
      <c r="Q7" s="143">
        <f>(P8+P9)/P28</f>
        <v>0.26441128877761139</v>
      </c>
      <c r="R7" s="40"/>
    </row>
    <row r="8" spans="1:18" ht="16.5" customHeight="1" x14ac:dyDescent="0.25">
      <c r="A8" s="40"/>
      <c r="D8" s="2" t="s">
        <v>104</v>
      </c>
      <c r="E8" s="13"/>
      <c r="F8" s="5">
        <v>36</v>
      </c>
      <c r="G8" s="5" t="s">
        <v>2</v>
      </c>
      <c r="H8" s="1">
        <f>F8*'HYPOTHÈSE $'!F7</f>
        <v>11491.199999999999</v>
      </c>
      <c r="J8" s="191"/>
      <c r="K8" s="187" t="str">
        <f t="shared" ref="K8:K25" si="0">G8</f>
        <v>Jour</v>
      </c>
      <c r="L8" s="65"/>
      <c r="M8" s="188"/>
      <c r="N8" s="191">
        <f>J8+F8</f>
        <v>36</v>
      </c>
      <c r="O8" s="205" t="str">
        <f t="shared" ref="O8:O25" si="1">K8</f>
        <v>Jour</v>
      </c>
      <c r="P8" s="188">
        <f>H8+L8</f>
        <v>11491.199999999999</v>
      </c>
      <c r="Q8" s="188"/>
      <c r="R8" s="40"/>
    </row>
    <row r="9" spans="1:18" ht="16.5" customHeight="1" x14ac:dyDescent="0.25">
      <c r="A9" s="40"/>
      <c r="D9" s="2" t="s">
        <v>105</v>
      </c>
      <c r="E9" s="13" t="s">
        <v>144</v>
      </c>
      <c r="F9" s="5">
        <v>19</v>
      </c>
      <c r="G9" s="5" t="s">
        <v>2</v>
      </c>
      <c r="H9" s="1">
        <f>F9*'HYPOTHÈSE $'!F7</f>
        <v>6064.8</v>
      </c>
      <c r="J9" s="191"/>
      <c r="K9" s="187" t="str">
        <f t="shared" si="0"/>
        <v>Jour</v>
      </c>
      <c r="L9" s="65"/>
      <c r="M9" s="188"/>
      <c r="N9" s="191">
        <f t="shared" ref="N9:N25" si="2">J9+F9</f>
        <v>19</v>
      </c>
      <c r="O9" s="205" t="str">
        <f t="shared" si="1"/>
        <v>Jour</v>
      </c>
      <c r="P9" s="188">
        <f t="shared" ref="P9:P25" si="3">H9+L9</f>
        <v>6064.8</v>
      </c>
      <c r="Q9" s="188"/>
      <c r="R9" s="40"/>
    </row>
    <row r="10" spans="1:18" ht="17.25" customHeight="1" x14ac:dyDescent="0.25">
      <c r="A10" s="40"/>
      <c r="C10" s="43" t="s">
        <v>85</v>
      </c>
      <c r="D10" s="43"/>
      <c r="E10" s="44" t="s">
        <v>158</v>
      </c>
      <c r="F10" s="46"/>
      <c r="G10" s="46"/>
      <c r="I10" s="143">
        <f>SUM(H11:H17)/H28</f>
        <v>0.43067564829129285</v>
      </c>
      <c r="J10" s="190"/>
      <c r="K10" s="187"/>
      <c r="L10" s="65"/>
      <c r="M10" s="108">
        <f>SUM(L11:L17)/SUM(P11:P17)</f>
        <v>0.39268005853266585</v>
      </c>
      <c r="N10" s="191"/>
      <c r="O10" s="205"/>
      <c r="P10" s="188"/>
      <c r="Q10" s="143">
        <f>SUM(P11:P17)/P28</f>
        <v>0.48435973188972442</v>
      </c>
      <c r="R10" s="40"/>
    </row>
    <row r="11" spans="1:18" x14ac:dyDescent="0.25">
      <c r="A11" s="40"/>
      <c r="B11" s="90"/>
      <c r="D11" t="s">
        <v>86</v>
      </c>
      <c r="E11" s="41" t="s">
        <v>147</v>
      </c>
      <c r="F11" s="147">
        <f>ACTIVITÉS!$P$11</f>
        <v>154</v>
      </c>
      <c r="G11" s="5" t="s">
        <v>5</v>
      </c>
      <c r="H11" s="144">
        <f>F11*'HYPOTHÈSE $'!I10</f>
        <v>4524.5199999999995</v>
      </c>
      <c r="I11" s="177"/>
      <c r="J11" s="192"/>
      <c r="K11" s="187" t="str">
        <f t="shared" si="0"/>
        <v>Heure</v>
      </c>
      <c r="L11" s="145"/>
      <c r="M11" s="146"/>
      <c r="N11" s="191">
        <f t="shared" si="2"/>
        <v>154</v>
      </c>
      <c r="O11" s="205" t="str">
        <f t="shared" si="1"/>
        <v>Heure</v>
      </c>
      <c r="P11" s="188">
        <f t="shared" si="3"/>
        <v>4524.5199999999995</v>
      </c>
      <c r="Q11" s="146"/>
      <c r="R11" s="40"/>
    </row>
    <row r="12" spans="1:18" x14ac:dyDescent="0.25">
      <c r="A12" s="40"/>
      <c r="D12" t="s">
        <v>87</v>
      </c>
      <c r="F12" s="148">
        <f>ACTIVITÉS!$P$8</f>
        <v>78</v>
      </c>
      <c r="G12" s="5" t="s">
        <v>5</v>
      </c>
      <c r="H12" s="144">
        <f>F12*'HYPOTHÈSE $'!I9</f>
        <v>2574</v>
      </c>
      <c r="I12" s="177"/>
      <c r="J12" s="192"/>
      <c r="K12" s="187" t="str">
        <f t="shared" si="0"/>
        <v>Heure</v>
      </c>
      <c r="L12" s="145"/>
      <c r="M12" s="146"/>
      <c r="N12" s="191">
        <f t="shared" si="2"/>
        <v>78</v>
      </c>
      <c r="O12" s="205" t="str">
        <f t="shared" si="1"/>
        <v>Heure</v>
      </c>
      <c r="P12" s="188">
        <f t="shared" si="3"/>
        <v>2574</v>
      </c>
      <c r="Q12" s="146"/>
      <c r="R12" s="40"/>
    </row>
    <row r="13" spans="1:18" x14ac:dyDescent="0.25">
      <c r="A13" s="40"/>
      <c r="D13" t="s">
        <v>88</v>
      </c>
      <c r="E13" s="11" t="s">
        <v>149</v>
      </c>
      <c r="F13" s="148">
        <f>ACTIVITÉS!P11</f>
        <v>154</v>
      </c>
      <c r="G13" s="5" t="s">
        <v>5</v>
      </c>
      <c r="H13" s="144">
        <f>F13*'HYPOTHÈSE $'!I10</f>
        <v>4524.5199999999995</v>
      </c>
      <c r="I13" s="177"/>
      <c r="J13" s="192"/>
      <c r="K13" s="187" t="str">
        <f t="shared" si="0"/>
        <v>Heure</v>
      </c>
      <c r="L13" s="145"/>
      <c r="M13" s="146"/>
      <c r="N13" s="191">
        <f t="shared" si="2"/>
        <v>154</v>
      </c>
      <c r="O13" s="205" t="str">
        <f t="shared" si="1"/>
        <v>Heure</v>
      </c>
      <c r="P13" s="188">
        <f t="shared" si="3"/>
        <v>4524.5199999999995</v>
      </c>
      <c r="Q13" s="146"/>
      <c r="R13" s="40"/>
    </row>
    <row r="14" spans="1:18" x14ac:dyDescent="0.25">
      <c r="A14" s="40"/>
      <c r="D14" t="s">
        <v>89</v>
      </c>
      <c r="F14" s="148">
        <f>ACTIVITÉS!P10</f>
        <v>78</v>
      </c>
      <c r="G14" s="5" t="s">
        <v>5</v>
      </c>
      <c r="H14" s="1">
        <f>F14*'HYPOTHÈSE $'!I9</f>
        <v>2574</v>
      </c>
      <c r="J14" s="191"/>
      <c r="K14" s="187" t="str">
        <f t="shared" si="0"/>
        <v>Heure</v>
      </c>
      <c r="L14" s="65"/>
      <c r="M14" s="100"/>
      <c r="N14" s="191">
        <f t="shared" si="2"/>
        <v>78</v>
      </c>
      <c r="O14" s="205" t="str">
        <f t="shared" si="1"/>
        <v>Heure</v>
      </c>
      <c r="P14" s="188">
        <f t="shared" si="3"/>
        <v>2574</v>
      </c>
      <c r="Q14" s="100"/>
      <c r="R14" s="40"/>
    </row>
    <row r="15" spans="1:18" x14ac:dyDescent="0.25">
      <c r="A15" s="40"/>
      <c r="D15" t="s">
        <v>90</v>
      </c>
      <c r="E15" s="11" t="s">
        <v>142</v>
      </c>
      <c r="F15" s="149">
        <f>ACTIVITÉS!P12-ACTIVITÉS!P12</f>
        <v>0</v>
      </c>
      <c r="G15" s="5" t="s">
        <v>5</v>
      </c>
      <c r="H15" s="1">
        <f>F15*'HYPOTHÈSE $'!D11</f>
        <v>0</v>
      </c>
      <c r="J15" s="191">
        <f>ACTIVITÉS!P12-ACTIVITÉS!O12</f>
        <v>64</v>
      </c>
      <c r="K15" s="187" t="str">
        <f t="shared" si="0"/>
        <v>Heure</v>
      </c>
      <c r="L15" s="65">
        <f>J15*'HYPOTHÈSE $'!I11</f>
        <v>2560</v>
      </c>
      <c r="M15" s="188"/>
      <c r="N15" s="191">
        <f t="shared" si="2"/>
        <v>64</v>
      </c>
      <c r="O15" s="205" t="str">
        <f t="shared" si="1"/>
        <v>Heure</v>
      </c>
      <c r="P15" s="188">
        <f t="shared" si="3"/>
        <v>2560</v>
      </c>
      <c r="Q15" s="188"/>
      <c r="R15" s="40"/>
    </row>
    <row r="16" spans="1:18" x14ac:dyDescent="0.25">
      <c r="A16" s="40"/>
      <c r="D16" t="s">
        <v>91</v>
      </c>
      <c r="E16" s="11" t="s">
        <v>150</v>
      </c>
      <c r="F16" s="149">
        <f>ACTIVITÉS!P14-ACTIVITÉS!G14</f>
        <v>98</v>
      </c>
      <c r="G16" s="5" t="s">
        <v>5</v>
      </c>
      <c r="H16" s="1">
        <f>F16*'HYPOTHÈSE $'!I8</f>
        <v>5034.2599999999993</v>
      </c>
      <c r="J16" s="191">
        <f>ACTIVITÉS!P14-ACTIVITÉS!O14</f>
        <v>196</v>
      </c>
      <c r="K16" s="187" t="str">
        <f t="shared" si="0"/>
        <v>Heure</v>
      </c>
      <c r="L16" s="65">
        <f>J16*'HYPOTHÈSE $'!I8</f>
        <v>10068.519999999999</v>
      </c>
      <c r="M16" s="188"/>
      <c r="N16" s="191">
        <f t="shared" si="2"/>
        <v>294</v>
      </c>
      <c r="O16" s="205" t="str">
        <f t="shared" si="1"/>
        <v>Heure</v>
      </c>
      <c r="P16" s="188">
        <f t="shared" si="3"/>
        <v>15102.779999999999</v>
      </c>
      <c r="Q16" s="188"/>
      <c r="R16" s="40"/>
    </row>
    <row r="17" spans="1:18" x14ac:dyDescent="0.25">
      <c r="A17" s="40"/>
      <c r="D17" t="s">
        <v>93</v>
      </c>
      <c r="E17" s="11" t="s">
        <v>154</v>
      </c>
      <c r="F17" s="149">
        <f>ACTIVITÉS!P16</f>
        <v>6</v>
      </c>
      <c r="G17" s="142" t="s">
        <v>94</v>
      </c>
      <c r="H17" s="1">
        <f>F17*'HYPOTHÈSE $'!F13</f>
        <v>300</v>
      </c>
      <c r="J17" s="191"/>
      <c r="K17" s="187" t="str">
        <f t="shared" si="0"/>
        <v>Présence</v>
      </c>
      <c r="L17" s="65"/>
      <c r="M17" s="188"/>
      <c r="N17" s="191">
        <f t="shared" si="2"/>
        <v>6</v>
      </c>
      <c r="O17" s="205" t="str">
        <f t="shared" si="1"/>
        <v>Présence</v>
      </c>
      <c r="P17" s="188">
        <f t="shared" si="3"/>
        <v>300</v>
      </c>
      <c r="Q17" s="188"/>
      <c r="R17" s="40"/>
    </row>
    <row r="18" spans="1:18" x14ac:dyDescent="0.25">
      <c r="A18" s="40"/>
      <c r="C18" s="43" t="s">
        <v>92</v>
      </c>
      <c r="E18" s="11" t="s">
        <v>146</v>
      </c>
      <c r="F18" s="150"/>
      <c r="I18" s="143">
        <f>SUM(H19:H25)/$H$28</f>
        <v>0.18220512864613891</v>
      </c>
      <c r="J18" s="190"/>
      <c r="K18" s="187"/>
      <c r="L18" s="65"/>
      <c r="M18" s="108">
        <f>SUM(L19:L25)/SUM(P19:P25)</f>
        <v>0.50463408697695666</v>
      </c>
      <c r="N18" s="191"/>
      <c r="O18" s="205"/>
      <c r="P18" s="188"/>
      <c r="Q18" s="143">
        <f>SUM(P19:P25)/$P$28</f>
        <v>0.25122897933266419</v>
      </c>
      <c r="R18" s="40"/>
    </row>
    <row r="19" spans="1:18" x14ac:dyDescent="0.25">
      <c r="A19" s="40"/>
      <c r="D19" t="s">
        <v>86</v>
      </c>
      <c r="F19" s="217">
        <f>ACTIVITÉS!AJ9-ACTIVITÉS!AG9</f>
        <v>147</v>
      </c>
      <c r="G19" s="3" t="s">
        <v>5</v>
      </c>
      <c r="H19" s="212">
        <f>'HYPOTHÈSE $'!I10*F19-550.93</f>
        <v>3767.93</v>
      </c>
      <c r="J19" s="214">
        <f>ACTIVITÉS!AG9</f>
        <v>15</v>
      </c>
      <c r="K19" s="187" t="str">
        <f t="shared" si="0"/>
        <v>Heure</v>
      </c>
      <c r="L19" s="216">
        <f>550.93-L52</f>
        <v>141.12999999999994</v>
      </c>
      <c r="M19" s="188"/>
      <c r="N19" s="191">
        <f t="shared" si="2"/>
        <v>162</v>
      </c>
      <c r="O19" s="205" t="str">
        <f t="shared" si="1"/>
        <v>Heure</v>
      </c>
      <c r="P19" s="188">
        <f t="shared" si="3"/>
        <v>3909.06</v>
      </c>
      <c r="Q19" s="188"/>
      <c r="R19" s="40"/>
    </row>
    <row r="20" spans="1:18" x14ac:dyDescent="0.25">
      <c r="A20" s="40"/>
      <c r="D20" t="s">
        <v>87</v>
      </c>
      <c r="F20" s="142">
        <f>ACTIVITÉS!AJ8</f>
        <v>0</v>
      </c>
      <c r="G20" s="142" t="s">
        <v>5</v>
      </c>
      <c r="H20" s="1">
        <f>F20*'HYPOTHÈSE $'!I9</f>
        <v>0</v>
      </c>
      <c r="J20" s="191"/>
      <c r="K20" s="187" t="str">
        <f t="shared" si="0"/>
        <v>Heure</v>
      </c>
      <c r="L20" s="65"/>
      <c r="M20" s="188"/>
      <c r="N20" s="191">
        <f t="shared" si="2"/>
        <v>0</v>
      </c>
      <c r="O20" s="205" t="str">
        <f t="shared" si="1"/>
        <v>Heure</v>
      </c>
      <c r="P20" s="188">
        <f t="shared" si="3"/>
        <v>0</v>
      </c>
      <c r="Q20" s="188"/>
      <c r="R20" s="40"/>
    </row>
    <row r="21" spans="1:18" x14ac:dyDescent="0.25">
      <c r="A21" s="40"/>
      <c r="D21" t="s">
        <v>88</v>
      </c>
      <c r="F21" s="142">
        <f>ACTIVITÉS!AJ11-ACTIVITÉS!AI11</f>
        <v>153</v>
      </c>
      <c r="G21" s="142" t="s">
        <v>5</v>
      </c>
      <c r="H21" s="1">
        <f>F21*'HYPOTHÈSE $'!I10</f>
        <v>4495.1399999999994</v>
      </c>
      <c r="J21" s="191">
        <f>ACTIVITÉS!AI11</f>
        <v>15</v>
      </c>
      <c r="K21" s="187" t="str">
        <f t="shared" si="0"/>
        <v>Heure</v>
      </c>
      <c r="L21" s="65">
        <f>J21*'HYPOTHÈSE $'!I10</f>
        <v>440.7</v>
      </c>
      <c r="M21" s="188"/>
      <c r="N21" s="191">
        <f>J21+F21</f>
        <v>168</v>
      </c>
      <c r="O21" s="205" t="str">
        <f t="shared" si="1"/>
        <v>Heure</v>
      </c>
      <c r="P21" s="188">
        <f t="shared" si="3"/>
        <v>4935.8399999999992</v>
      </c>
      <c r="Q21" s="188"/>
      <c r="R21" s="40"/>
    </row>
    <row r="22" spans="1:18" x14ac:dyDescent="0.25">
      <c r="A22" s="40"/>
      <c r="D22" t="s">
        <v>89</v>
      </c>
      <c r="F22" s="142">
        <f>ACTIVITÉS!AJ10-ACTIVITÉS!AJ10</f>
        <v>0</v>
      </c>
      <c r="G22" s="142" t="s">
        <v>5</v>
      </c>
      <c r="H22" s="1">
        <f>F22*'HYPOTHÈSE $'!I9</f>
        <v>0</v>
      </c>
      <c r="J22" s="191">
        <f>ACTIVITÉS!AJ10</f>
        <v>15</v>
      </c>
      <c r="K22" s="187" t="str">
        <f t="shared" si="0"/>
        <v>Heure</v>
      </c>
      <c r="L22" s="65">
        <f>J22*'HYPOTHÈSE $'!I9</f>
        <v>495</v>
      </c>
      <c r="M22" s="188"/>
      <c r="N22" s="191">
        <f t="shared" si="2"/>
        <v>15</v>
      </c>
      <c r="O22" s="205" t="str">
        <f t="shared" si="1"/>
        <v>Heure</v>
      </c>
      <c r="P22" s="188">
        <f t="shared" si="3"/>
        <v>495</v>
      </c>
      <c r="Q22" s="188"/>
      <c r="R22" s="40"/>
    </row>
    <row r="23" spans="1:18" x14ac:dyDescent="0.25">
      <c r="A23" s="40"/>
      <c r="D23" t="s">
        <v>90</v>
      </c>
      <c r="F23" s="3">
        <f>ACTIVITÉS!P12-ACTIVITÉS!P12</f>
        <v>0</v>
      </c>
      <c r="G23" s="142" t="s">
        <v>5</v>
      </c>
      <c r="H23" s="1">
        <f>F23*'HYPOTHÈSE $'!I11</f>
        <v>0</v>
      </c>
      <c r="J23" s="191">
        <f>ACTIVITÉS!O12</f>
        <v>14</v>
      </c>
      <c r="K23" s="187" t="str">
        <f t="shared" si="0"/>
        <v>Heure</v>
      </c>
      <c r="L23" s="65">
        <f>J23*'HYPOTHÈSE $'!I11</f>
        <v>560</v>
      </c>
      <c r="M23" s="188"/>
      <c r="N23" s="191">
        <f t="shared" si="2"/>
        <v>14</v>
      </c>
      <c r="O23" s="205" t="str">
        <f t="shared" si="1"/>
        <v>Heure</v>
      </c>
      <c r="P23" s="188">
        <f t="shared" si="3"/>
        <v>560</v>
      </c>
      <c r="Q23" s="188"/>
      <c r="R23" s="40"/>
    </row>
    <row r="24" spans="1:18" x14ac:dyDescent="0.25">
      <c r="A24" s="40"/>
      <c r="D24" t="s">
        <v>91</v>
      </c>
      <c r="F24" s="3">
        <f>ACTIVITÉS!AJ14-ACTIVITÉS!Y14-ACTIVITÉS!W14</f>
        <v>0</v>
      </c>
      <c r="G24" s="142" t="s">
        <v>5</v>
      </c>
      <c r="H24" s="1">
        <f>F24*'HYPOTHÈSE $'!I8</f>
        <v>0</v>
      </c>
      <c r="J24" s="191">
        <f>ACTIVITÉS!AJ14</f>
        <v>132</v>
      </c>
      <c r="K24" s="187" t="str">
        <f t="shared" si="0"/>
        <v>Heure</v>
      </c>
      <c r="L24" s="65">
        <f>J24*'HYPOTHÈSE $'!I8</f>
        <v>6780.8399999999992</v>
      </c>
      <c r="M24" s="188"/>
      <c r="N24" s="191">
        <f t="shared" si="2"/>
        <v>132</v>
      </c>
      <c r="O24" s="205" t="str">
        <f t="shared" si="1"/>
        <v>Heure</v>
      </c>
      <c r="P24" s="188">
        <f t="shared" si="3"/>
        <v>6780.8399999999992</v>
      </c>
      <c r="Q24" s="188"/>
      <c r="R24" s="40"/>
    </row>
    <row r="25" spans="1:18" x14ac:dyDescent="0.25">
      <c r="A25" s="40"/>
      <c r="D25" t="s">
        <v>93</v>
      </c>
      <c r="F25" s="217">
        <v>0</v>
      </c>
      <c r="G25" s="3" t="s">
        <v>94</v>
      </c>
      <c r="H25" s="1">
        <f>F25*'HYPOTHÈSE $'!F13</f>
        <v>0</v>
      </c>
      <c r="J25" s="191"/>
      <c r="K25" s="187" t="str">
        <f t="shared" si="0"/>
        <v>Présence</v>
      </c>
      <c r="L25" s="65"/>
      <c r="M25" s="188"/>
      <c r="N25" s="191">
        <f t="shared" si="2"/>
        <v>0</v>
      </c>
      <c r="O25" s="205" t="str">
        <f t="shared" si="1"/>
        <v>Présence</v>
      </c>
      <c r="P25" s="188">
        <f t="shared" si="3"/>
        <v>0</v>
      </c>
      <c r="Q25" s="188"/>
      <c r="R25" s="40"/>
    </row>
    <row r="26" spans="1:18" x14ac:dyDescent="0.25">
      <c r="A26" s="40"/>
      <c r="C26" s="43"/>
      <c r="D26" s="43"/>
      <c r="E26" s="41"/>
      <c r="F26" s="46"/>
      <c r="G26" s="46"/>
      <c r="J26" s="191"/>
      <c r="K26" s="187"/>
      <c r="L26" s="65"/>
      <c r="M26" s="108"/>
      <c r="N26" s="202"/>
      <c r="O26" s="205"/>
      <c r="P26" s="108"/>
      <c r="Q26" s="108"/>
      <c r="R26" s="40"/>
    </row>
    <row r="27" spans="1:18" x14ac:dyDescent="0.25">
      <c r="A27" s="40"/>
      <c r="F27" s="98"/>
      <c r="H27" s="145"/>
      <c r="I27" s="178"/>
      <c r="J27" s="192"/>
      <c r="K27" s="187"/>
      <c r="L27" s="145"/>
      <c r="M27" s="146"/>
      <c r="N27" s="203"/>
      <c r="O27" s="205"/>
      <c r="P27" s="146"/>
      <c r="Q27" s="146"/>
      <c r="R27" s="40"/>
    </row>
    <row r="28" spans="1:18" ht="15.75" thickBot="1" x14ac:dyDescent="0.3">
      <c r="A28" s="40"/>
      <c r="B28" s="16" t="s">
        <v>14</v>
      </c>
      <c r="C28" s="16"/>
      <c r="D28" s="16"/>
      <c r="E28" s="17"/>
      <c r="F28" s="18"/>
      <c r="G28" s="18"/>
      <c r="H28" s="19">
        <f>SUM(H8:H27)</f>
        <v>45350.37</v>
      </c>
      <c r="I28" s="207">
        <f>H28/$H$59</f>
        <v>0.89449378967989412</v>
      </c>
      <c r="J28" s="193"/>
      <c r="K28" s="52"/>
      <c r="L28" s="19">
        <f>SUM(L8:L27)</f>
        <v>21046.19</v>
      </c>
      <c r="M28" s="52">
        <f>L28/P28</f>
        <v>0.31697711447701504</v>
      </c>
      <c r="N28" s="193"/>
      <c r="O28" s="52"/>
      <c r="P28" s="19">
        <f>SUM(P8:P27)</f>
        <v>66396.56</v>
      </c>
      <c r="Q28" s="207">
        <f>P28/P59</f>
        <v>0.89361608775333945</v>
      </c>
      <c r="R28" s="40"/>
    </row>
    <row r="29" spans="1:18" ht="5.25" customHeight="1" thickTop="1" x14ac:dyDescent="0.25">
      <c r="A29" s="40"/>
      <c r="R29" s="40"/>
    </row>
    <row r="30" spans="1:18" ht="15" customHeight="1" x14ac:dyDescent="0.25">
      <c r="A30" s="40"/>
      <c r="B30" s="20" t="s">
        <v>124</v>
      </c>
      <c r="C30" s="20"/>
      <c r="D30" s="20"/>
      <c r="E30" s="25"/>
      <c r="F30" s="26"/>
      <c r="G30" s="26"/>
      <c r="H30" s="27"/>
      <c r="I30" s="53"/>
      <c r="J30" s="324" t="s">
        <v>106</v>
      </c>
      <c r="K30" s="325"/>
      <c r="L30" s="325"/>
      <c r="M30" s="325"/>
      <c r="N30" s="326" t="s">
        <v>107</v>
      </c>
      <c r="O30" s="327"/>
      <c r="P30" s="327"/>
      <c r="Q30" s="327"/>
      <c r="R30" s="40"/>
    </row>
    <row r="31" spans="1:18" x14ac:dyDescent="0.25">
      <c r="A31" s="40"/>
      <c r="D31" t="str">
        <f>'HYPOTHÈSE $'!B19</f>
        <v>Papeterie</v>
      </c>
      <c r="F31" s="142"/>
      <c r="G31" s="142"/>
      <c r="H31" s="37">
        <f>'HYPOTHÈSE $'!D19</f>
        <v>355</v>
      </c>
      <c r="I31" s="218"/>
      <c r="M31" s="218"/>
      <c r="P31" s="6">
        <f>H31+L31</f>
        <v>355</v>
      </c>
      <c r="R31" s="40"/>
    </row>
    <row r="32" spans="1:18" x14ac:dyDescent="0.25">
      <c r="A32" s="40"/>
      <c r="F32" s="98"/>
      <c r="H32" s="37">
        <f>F32*'HYPOTHÈSE $'!D19</f>
        <v>0</v>
      </c>
      <c r="I32" s="219"/>
      <c r="J32" s="194"/>
      <c r="K32" s="179"/>
      <c r="L32" s="117"/>
      <c r="M32" s="224"/>
      <c r="N32" s="99"/>
      <c r="O32" s="99"/>
      <c r="P32" s="6">
        <f t="shared" ref="P32:P35" si="4">H32+L32</f>
        <v>0</v>
      </c>
      <c r="Q32" s="99"/>
      <c r="R32" s="40"/>
    </row>
    <row r="33" spans="1:18" x14ac:dyDescent="0.25">
      <c r="A33" s="40"/>
      <c r="H33" s="37"/>
      <c r="I33" s="220"/>
      <c r="J33" s="195"/>
      <c r="K33" s="180"/>
      <c r="L33" s="37"/>
      <c r="M33" s="225"/>
      <c r="N33" s="54"/>
      <c r="O33" s="54"/>
      <c r="P33" s="6">
        <f t="shared" si="4"/>
        <v>0</v>
      </c>
      <c r="Q33" s="54"/>
      <c r="R33" s="40"/>
    </row>
    <row r="34" spans="1:18" x14ac:dyDescent="0.25">
      <c r="A34" s="40"/>
      <c r="I34" s="218"/>
      <c r="M34" s="218"/>
      <c r="P34" s="6">
        <f t="shared" si="4"/>
        <v>0</v>
      </c>
      <c r="R34" s="40"/>
    </row>
    <row r="35" spans="1:18" x14ac:dyDescent="0.25">
      <c r="A35" s="40"/>
      <c r="I35" s="218"/>
      <c r="M35" s="218"/>
      <c r="P35" s="6">
        <f t="shared" si="4"/>
        <v>0</v>
      </c>
      <c r="R35" s="40"/>
    </row>
    <row r="36" spans="1:18" ht="15.75" thickBot="1" x14ac:dyDescent="0.3">
      <c r="A36" s="40"/>
      <c r="B36" s="16" t="s">
        <v>15</v>
      </c>
      <c r="C36" s="16"/>
      <c r="D36" s="16"/>
      <c r="E36" s="17"/>
      <c r="F36" s="18"/>
      <c r="G36" s="18"/>
      <c r="H36" s="19">
        <f>SUM(H31:H35)</f>
        <v>355</v>
      </c>
      <c r="I36" s="207">
        <f>H36/$H$59</f>
        <v>7.0020442024257444E-3</v>
      </c>
      <c r="J36" s="193"/>
      <c r="K36" s="181"/>
      <c r="L36" s="19">
        <f>SUM(L31:L35)</f>
        <v>0</v>
      </c>
      <c r="M36" s="226">
        <f>L36/P36</f>
        <v>0</v>
      </c>
      <c r="N36" s="196"/>
      <c r="O36" s="196"/>
      <c r="P36" s="19">
        <f>SUM(P31:P35)</f>
        <v>355</v>
      </c>
      <c r="Q36" s="52">
        <f>P36/P59</f>
        <v>4.7778636596901326E-3</v>
      </c>
      <c r="R36" s="40"/>
    </row>
    <row r="37" spans="1:18" ht="5.25" customHeight="1" thickTop="1" x14ac:dyDescent="0.25">
      <c r="A37" s="40"/>
      <c r="I37" s="227"/>
      <c r="R37" s="40"/>
    </row>
    <row r="38" spans="1:18" x14ac:dyDescent="0.25">
      <c r="A38" s="40"/>
      <c r="B38" s="28" t="s">
        <v>111</v>
      </c>
      <c r="C38" s="28"/>
      <c r="D38" s="28"/>
      <c r="E38" s="29"/>
      <c r="F38" s="30"/>
      <c r="G38" s="30"/>
      <c r="H38" s="31"/>
      <c r="I38" s="221"/>
      <c r="J38" s="324" t="s">
        <v>106</v>
      </c>
      <c r="K38" s="325"/>
      <c r="L38" s="325"/>
      <c r="M38" s="325"/>
      <c r="N38" s="326" t="s">
        <v>107</v>
      </c>
      <c r="O38" s="327"/>
      <c r="P38" s="327"/>
      <c r="Q38" s="327"/>
      <c r="R38" s="40"/>
    </row>
    <row r="39" spans="1:18" x14ac:dyDescent="0.25">
      <c r="A39" s="40"/>
      <c r="C39" s="33" t="s">
        <v>122</v>
      </c>
      <c r="D39" s="33"/>
      <c r="E39" s="41" t="s">
        <v>195</v>
      </c>
      <c r="F39" s="42"/>
      <c r="G39" s="42"/>
      <c r="I39" s="218"/>
      <c r="M39" s="218"/>
      <c r="R39" s="40"/>
    </row>
    <row r="40" spans="1:18" x14ac:dyDescent="0.25">
      <c r="A40" s="40"/>
      <c r="C40" s="33"/>
      <c r="D40" s="33" t="str">
        <f>'HYPOTHÈSE $'!B24</f>
        <v>À définir</v>
      </c>
      <c r="F40" s="42"/>
      <c r="G40" s="42"/>
      <c r="H40" s="1">
        <f>'HYPOTHÈSE $'!D24</f>
        <v>700</v>
      </c>
      <c r="I40" s="218"/>
      <c r="M40" s="218"/>
      <c r="P40" s="6">
        <f>H40+L40</f>
        <v>700</v>
      </c>
      <c r="R40" s="40"/>
    </row>
    <row r="41" spans="1:18" x14ac:dyDescent="0.25">
      <c r="A41" s="40"/>
      <c r="C41" s="33"/>
      <c r="D41" s="33"/>
      <c r="F41" s="42"/>
      <c r="G41" s="42"/>
      <c r="I41" s="218"/>
      <c r="M41" s="218"/>
      <c r="P41" s="6">
        <f t="shared" ref="P41:P43" si="5">H41+L41</f>
        <v>0</v>
      </c>
      <c r="R41" s="40"/>
    </row>
    <row r="42" spans="1:18" x14ac:dyDescent="0.25">
      <c r="A42" s="40"/>
      <c r="C42" s="33"/>
      <c r="D42" s="33"/>
      <c r="F42" s="42"/>
      <c r="G42" s="42"/>
      <c r="I42" s="218"/>
      <c r="M42" s="218"/>
      <c r="P42" s="6">
        <f t="shared" si="5"/>
        <v>0</v>
      </c>
      <c r="R42" s="40"/>
    </row>
    <row r="43" spans="1:18" x14ac:dyDescent="0.25">
      <c r="A43" s="40"/>
      <c r="C43" s="33"/>
      <c r="D43" s="33"/>
      <c r="F43" s="42"/>
      <c r="G43" s="42"/>
      <c r="I43" s="218"/>
      <c r="M43" s="218"/>
      <c r="P43" s="6">
        <f t="shared" si="5"/>
        <v>0</v>
      </c>
      <c r="R43" s="40"/>
    </row>
    <row r="44" spans="1:18" x14ac:dyDescent="0.25">
      <c r="A44" s="40"/>
      <c r="C44" s="33"/>
      <c r="D44" s="33"/>
      <c r="F44" s="42"/>
      <c r="G44" s="42"/>
      <c r="I44" s="219"/>
      <c r="J44" s="194"/>
      <c r="K44" s="179"/>
      <c r="L44" s="117"/>
      <c r="M44" s="224"/>
      <c r="N44" s="99"/>
      <c r="O44" s="99"/>
      <c r="P44" s="99"/>
      <c r="Q44" s="99"/>
      <c r="R44" s="40"/>
    </row>
    <row r="45" spans="1:18" x14ac:dyDescent="0.25">
      <c r="A45" s="40"/>
      <c r="C45" s="33"/>
      <c r="D45" s="33"/>
      <c r="F45" s="42"/>
      <c r="G45" s="42"/>
      <c r="I45" s="219"/>
      <c r="J45" s="194"/>
      <c r="K45" s="179"/>
      <c r="L45" s="117"/>
      <c r="M45" s="224"/>
      <c r="N45" s="99"/>
      <c r="O45" s="99"/>
      <c r="P45" s="99"/>
      <c r="Q45" s="99"/>
      <c r="R45" s="40"/>
    </row>
    <row r="46" spans="1:18" x14ac:dyDescent="0.25">
      <c r="A46" s="40"/>
      <c r="C46" s="33"/>
      <c r="D46" s="33"/>
      <c r="F46" s="42"/>
      <c r="G46" s="42"/>
      <c r="I46" s="219"/>
      <c r="J46" s="194"/>
      <c r="K46" s="179"/>
      <c r="L46" s="117"/>
      <c r="M46" s="224"/>
      <c r="N46" s="99"/>
      <c r="O46" s="99"/>
      <c r="P46" s="99"/>
      <c r="Q46" s="99"/>
      <c r="R46" s="40"/>
    </row>
    <row r="47" spans="1:18" ht="15.75" thickBot="1" x14ac:dyDescent="0.3">
      <c r="A47" s="40"/>
      <c r="B47" s="16" t="s">
        <v>14</v>
      </c>
      <c r="C47" s="16"/>
      <c r="D47" s="16"/>
      <c r="E47" s="17"/>
      <c r="F47" s="18"/>
      <c r="G47" s="18"/>
      <c r="H47" s="19">
        <f>SUM(H39:H46)</f>
        <v>700</v>
      </c>
      <c r="I47" s="207">
        <f>H47/$H$59</f>
        <v>1.3806847723093017E-2</v>
      </c>
      <c r="J47" s="193"/>
      <c r="K47" s="181"/>
      <c r="L47" s="19">
        <f>SUM(L39:L46)</f>
        <v>0</v>
      </c>
      <c r="M47" s="226">
        <f>L47/P47</f>
        <v>0</v>
      </c>
      <c r="N47" s="196"/>
      <c r="O47" s="196"/>
      <c r="P47" s="19">
        <f>SUM(P39:P46)</f>
        <v>700</v>
      </c>
      <c r="Q47" s="52">
        <f>P47/P59</f>
        <v>9.4211396106566002E-3</v>
      </c>
      <c r="R47" s="40"/>
    </row>
    <row r="48" spans="1:18" ht="6" customHeight="1" thickTop="1" x14ac:dyDescent="0.25">
      <c r="A48" s="40"/>
      <c r="I48" s="227"/>
      <c r="R48" s="40"/>
    </row>
    <row r="49" spans="1:18" x14ac:dyDescent="0.25">
      <c r="A49" s="40"/>
      <c r="B49" s="28" t="s">
        <v>17</v>
      </c>
      <c r="C49" s="28"/>
      <c r="D49" s="28"/>
      <c r="E49" s="29"/>
      <c r="F49" s="30"/>
      <c r="G49" s="30"/>
      <c r="H49" s="31"/>
      <c r="I49" s="221"/>
      <c r="J49" s="324" t="s">
        <v>106</v>
      </c>
      <c r="K49" s="325"/>
      <c r="L49" s="325"/>
      <c r="M49" s="325"/>
      <c r="N49" s="326" t="s">
        <v>107</v>
      </c>
      <c r="O49" s="327"/>
      <c r="P49" s="327"/>
      <c r="Q49" s="327"/>
      <c r="R49" s="40"/>
    </row>
    <row r="50" spans="1:18" x14ac:dyDescent="0.25">
      <c r="A50" s="40"/>
      <c r="C50" t="s">
        <v>186</v>
      </c>
      <c r="E50" s="41" t="s">
        <v>191</v>
      </c>
      <c r="H50" s="37"/>
      <c r="I50" s="220"/>
      <c r="J50" s="195"/>
      <c r="K50" s="180"/>
      <c r="L50" s="37"/>
      <c r="M50" s="225"/>
      <c r="N50" s="54"/>
      <c r="O50" s="54"/>
      <c r="P50" s="180"/>
      <c r="Q50" s="54"/>
      <c r="R50" s="40"/>
    </row>
    <row r="51" spans="1:18" x14ac:dyDescent="0.25">
      <c r="A51" s="40"/>
      <c r="D51" t="s">
        <v>176</v>
      </c>
      <c r="E51" s="41" t="s">
        <v>192</v>
      </c>
      <c r="F51" s="142"/>
      <c r="G51" s="142"/>
      <c r="H51" s="37">
        <f>'HYPOTHÈSE $'!D66-L51</f>
        <v>1066.9099999999999</v>
      </c>
      <c r="I51" s="220"/>
      <c r="J51" s="195"/>
      <c r="K51" s="180"/>
      <c r="L51" s="37">
        <f>709.8+14.3+'HYPOTHÈSE $'!D58</f>
        <v>2145.52</v>
      </c>
      <c r="M51" s="225"/>
      <c r="N51" s="54"/>
      <c r="O51" s="54"/>
      <c r="P51" s="180">
        <f t="shared" ref="P51:P53" si="6">H51+L51</f>
        <v>3212.43</v>
      </c>
      <c r="Q51" s="54"/>
      <c r="R51" s="40"/>
    </row>
    <row r="52" spans="1:18" x14ac:dyDescent="0.25">
      <c r="A52" s="40"/>
      <c r="D52" t="s">
        <v>187</v>
      </c>
      <c r="E52" s="41" t="s">
        <v>193</v>
      </c>
      <c r="F52" s="142"/>
      <c r="G52" s="142"/>
      <c r="H52" s="37">
        <f>'HYPOTHÈSE $'!E66</f>
        <v>909.6</v>
      </c>
      <c r="I52" s="220"/>
      <c r="J52" s="195"/>
      <c r="K52" s="180"/>
      <c r="L52" s="37">
        <v>409.8</v>
      </c>
      <c r="M52" s="225"/>
      <c r="N52" s="54"/>
      <c r="O52" s="54"/>
      <c r="P52" s="180">
        <f t="shared" si="6"/>
        <v>1319.4</v>
      </c>
      <c r="Q52" s="54"/>
      <c r="R52" s="40"/>
    </row>
    <row r="53" spans="1:18" x14ac:dyDescent="0.25">
      <c r="A53" s="40"/>
      <c r="D53" t="s">
        <v>188</v>
      </c>
      <c r="H53" s="1">
        <f>'HYPOTHÈSE $'!F66</f>
        <v>2317.6</v>
      </c>
      <c r="I53" s="220"/>
      <c r="J53" s="195"/>
      <c r="K53" s="180"/>
      <c r="L53" s="37"/>
      <c r="M53" s="225"/>
      <c r="N53" s="54"/>
      <c r="O53" s="54"/>
      <c r="P53" s="180">
        <f t="shared" si="6"/>
        <v>2317.6</v>
      </c>
      <c r="Q53" s="54"/>
      <c r="R53" s="40"/>
    </row>
    <row r="54" spans="1:18" x14ac:dyDescent="0.25">
      <c r="A54" s="40"/>
      <c r="I54" s="218"/>
      <c r="M54" s="218"/>
      <c r="P54" s="180"/>
      <c r="R54" s="40"/>
    </row>
    <row r="55" spans="1:18" ht="15.75" thickBot="1" x14ac:dyDescent="0.3">
      <c r="A55" s="40"/>
      <c r="B55" s="16" t="s">
        <v>14</v>
      </c>
      <c r="C55" s="16"/>
      <c r="D55" s="16"/>
      <c r="E55" s="17"/>
      <c r="F55" s="18"/>
      <c r="G55" s="18"/>
      <c r="H55" s="19">
        <f>SUM(H50:H53)</f>
        <v>4294.1099999999997</v>
      </c>
      <c r="I55" s="207">
        <f>H55/$H$59</f>
        <v>8.4697318394587079E-2</v>
      </c>
      <c r="J55" s="193"/>
      <c r="K55" s="181"/>
      <c r="L55" s="19">
        <f>SUM(L50:L54)</f>
        <v>2555.3200000000002</v>
      </c>
      <c r="M55" s="226">
        <f>L55/P55</f>
        <v>0.37307045987768328</v>
      </c>
      <c r="N55" s="196"/>
      <c r="O55" s="196"/>
      <c r="P55" s="210">
        <f>H55+L55</f>
        <v>6849.43</v>
      </c>
      <c r="Q55" s="52">
        <f>P55/P59</f>
        <v>9.2184908976313776E-2</v>
      </c>
      <c r="R55" s="40"/>
    </row>
    <row r="56" spans="1:18" ht="6" customHeight="1" thickTop="1" x14ac:dyDescent="0.25">
      <c r="A56" s="40"/>
      <c r="B56" s="73"/>
      <c r="C56" s="73"/>
      <c r="D56" s="73"/>
      <c r="E56" s="74"/>
      <c r="F56" s="75"/>
      <c r="G56" s="75"/>
      <c r="H56" s="76"/>
      <c r="I56" s="1"/>
      <c r="J56" s="1"/>
      <c r="K56" s="1"/>
      <c r="M56" s="1"/>
      <c r="N56" s="1"/>
      <c r="O56" s="77"/>
      <c r="P56" s="77"/>
      <c r="Q56" s="77"/>
      <c r="R56" s="40"/>
    </row>
    <row r="57" spans="1:18" x14ac:dyDescent="0.25">
      <c r="A57" s="40"/>
      <c r="B57" s="79" t="s">
        <v>28</v>
      </c>
      <c r="C57" s="79"/>
      <c r="D57" s="79"/>
      <c r="E57" s="367" t="s">
        <v>196</v>
      </c>
      <c r="F57" s="81"/>
      <c r="G57" s="81"/>
      <c r="H57" s="82">
        <f>IF(H59&lt;50000,0,H59-'HYPOTHÈSE $'!D4)</f>
        <v>699.4800000000032</v>
      </c>
      <c r="I57" s="222"/>
      <c r="J57" s="198"/>
      <c r="K57" s="183"/>
      <c r="L57" s="82"/>
      <c r="M57" s="222"/>
      <c r="N57" s="83"/>
      <c r="O57" s="83"/>
      <c r="P57" s="83"/>
      <c r="Q57" s="83"/>
      <c r="R57" s="40"/>
    </row>
    <row r="58" spans="1:18" ht="5.25" customHeight="1" x14ac:dyDescent="0.25">
      <c r="A58" s="40"/>
      <c r="I58" s="1"/>
      <c r="J58" s="1"/>
      <c r="K58" s="1"/>
      <c r="M58" s="1"/>
      <c r="N58" s="1"/>
      <c r="R58" s="40"/>
    </row>
    <row r="59" spans="1:18" ht="19.5" thickBot="1" x14ac:dyDescent="0.35">
      <c r="A59" s="40"/>
      <c r="B59" s="365"/>
      <c r="C59" s="365"/>
      <c r="D59" s="365"/>
      <c r="E59" s="366" t="s">
        <v>194</v>
      </c>
      <c r="F59" s="323" t="s">
        <v>20</v>
      </c>
      <c r="G59" s="323"/>
      <c r="H59" s="32">
        <f>H55+H47+H36+H28</f>
        <v>50699.48</v>
      </c>
      <c r="I59" s="223"/>
      <c r="J59" s="199"/>
      <c r="K59" s="184"/>
      <c r="L59" s="32">
        <f>L55+L47+L36+L28</f>
        <v>23601.51</v>
      </c>
      <c r="M59" s="228">
        <f>L59/P59</f>
        <v>0.31764731533186835</v>
      </c>
      <c r="N59" s="184"/>
      <c r="O59" s="184"/>
      <c r="P59" s="32">
        <f>H59+L59</f>
        <v>74300.990000000005</v>
      </c>
      <c r="Q59" s="209"/>
      <c r="R59" s="40"/>
    </row>
    <row r="60" spans="1:18" ht="7.5" customHeight="1" x14ac:dyDescent="0.25">
      <c r="D60" s="87"/>
      <c r="E60" s="321"/>
      <c r="F60" s="321"/>
      <c r="G60" s="321"/>
    </row>
    <row r="61" spans="1:18" x14ac:dyDescent="0.25">
      <c r="A61" s="91" t="s">
        <v>30</v>
      </c>
      <c r="B61" s="92"/>
      <c r="C61" s="92"/>
      <c r="D61" s="92"/>
      <c r="E61" s="93"/>
      <c r="F61" s="94"/>
      <c r="G61" s="94"/>
      <c r="H61" s="95"/>
      <c r="I61" s="185"/>
      <c r="J61" s="200"/>
      <c r="K61" s="185"/>
      <c r="L61" s="95"/>
      <c r="M61" s="96" t="s">
        <v>31</v>
      </c>
      <c r="N61" s="96"/>
      <c r="O61" s="96"/>
      <c r="P61" s="96"/>
      <c r="Q61" s="96"/>
      <c r="R61" s="91"/>
    </row>
    <row r="62" spans="1:18" x14ac:dyDescent="0.25">
      <c r="A62" s="101"/>
      <c r="H62" s="118"/>
      <c r="I62" s="118"/>
      <c r="J62" s="201"/>
      <c r="K62" s="118"/>
      <c r="L62" s="118"/>
      <c r="M62" s="118"/>
      <c r="N62" s="118"/>
      <c r="O62" s="118"/>
      <c r="P62" s="118"/>
      <c r="Q62" s="118"/>
      <c r="R62" s="101"/>
    </row>
    <row r="63" spans="1:18" x14ac:dyDescent="0.25">
      <c r="A63" s="101"/>
      <c r="H63" s="118"/>
      <c r="I63" s="118"/>
      <c r="J63" s="201"/>
      <c r="K63" s="118"/>
      <c r="L63" s="118"/>
      <c r="M63" s="118"/>
      <c r="N63" s="118"/>
      <c r="O63" s="118"/>
      <c r="P63" s="118"/>
      <c r="Q63" s="118"/>
      <c r="R63" s="101"/>
    </row>
    <row r="64" spans="1:18" x14ac:dyDescent="0.25">
      <c r="A64" s="101"/>
      <c r="H64" s="118"/>
      <c r="I64" s="118"/>
      <c r="J64" s="201"/>
      <c r="K64" s="118"/>
      <c r="L64" s="118"/>
      <c r="M64" s="118"/>
      <c r="N64" s="118"/>
      <c r="O64" s="118"/>
      <c r="P64" s="118"/>
      <c r="Q64" s="118"/>
      <c r="R64" s="101"/>
    </row>
    <row r="65" spans="1:18" x14ac:dyDescent="0.25">
      <c r="A65" s="101"/>
      <c r="B65" s="89"/>
      <c r="H65" s="118"/>
      <c r="I65" s="118"/>
      <c r="J65" s="201"/>
      <c r="K65" s="118"/>
      <c r="L65" s="118"/>
      <c r="M65" s="118"/>
      <c r="N65" s="118"/>
      <c r="O65" s="118"/>
      <c r="P65" s="118"/>
      <c r="Q65" s="118"/>
      <c r="R65" s="101"/>
    </row>
    <row r="66" spans="1:18" x14ac:dyDescent="0.25">
      <c r="A66" s="101"/>
      <c r="H66" s="118"/>
      <c r="I66" s="118"/>
      <c r="J66" s="201"/>
      <c r="K66" s="118"/>
      <c r="L66" s="118"/>
      <c r="M66" s="118"/>
      <c r="N66" s="118"/>
      <c r="O66" s="118"/>
      <c r="P66" s="118"/>
      <c r="Q66" s="118"/>
      <c r="R66" s="101"/>
    </row>
    <row r="67" spans="1:18" x14ac:dyDescent="0.25">
      <c r="A67" s="101"/>
      <c r="H67" s="118"/>
      <c r="I67" s="118"/>
      <c r="J67" s="201"/>
      <c r="K67" s="118"/>
      <c r="L67" s="118"/>
      <c r="M67" s="118"/>
      <c r="N67" s="118"/>
      <c r="O67" s="118"/>
      <c r="P67" s="118"/>
      <c r="Q67" s="118"/>
      <c r="R67" s="101"/>
    </row>
    <row r="68" spans="1:18" x14ac:dyDescent="0.25">
      <c r="A68" s="101"/>
      <c r="H68" s="118"/>
      <c r="I68" s="118"/>
      <c r="J68" s="201"/>
      <c r="K68" s="118"/>
      <c r="L68" s="118"/>
      <c r="M68" s="118"/>
      <c r="N68" s="118"/>
      <c r="O68" s="118"/>
      <c r="P68" s="118"/>
      <c r="Q68" s="118"/>
      <c r="R68" s="101"/>
    </row>
    <row r="69" spans="1:18" x14ac:dyDescent="0.25">
      <c r="A69" s="101"/>
      <c r="H69" s="118"/>
      <c r="I69" s="118"/>
      <c r="J69" s="201"/>
      <c r="K69" s="118"/>
      <c r="L69" s="118"/>
      <c r="M69" s="118"/>
      <c r="N69" s="118"/>
      <c r="O69" s="118"/>
      <c r="P69" s="118"/>
      <c r="Q69" s="118"/>
      <c r="R69" s="101"/>
    </row>
  </sheetData>
  <mergeCells count="14">
    <mergeCell ref="E60:G60"/>
    <mergeCell ref="A2:R2"/>
    <mergeCell ref="A1:R1"/>
    <mergeCell ref="B4:Q4"/>
    <mergeCell ref="J6:M6"/>
    <mergeCell ref="N6:Q6"/>
    <mergeCell ref="B5:D5"/>
    <mergeCell ref="N30:Q30"/>
    <mergeCell ref="J30:M30"/>
    <mergeCell ref="J38:M38"/>
    <mergeCell ref="N38:Q38"/>
    <mergeCell ref="J49:M49"/>
    <mergeCell ref="N49:Q49"/>
    <mergeCell ref="F59:G59"/>
  </mergeCells>
  <printOptions horizontalCentered="1" verticalCentered="1" gridLines="1"/>
  <pageMargins left="0.23622047244094491" right="0.23622047244094491" top="0.74803149606299213" bottom="0.74803149606299213" header="0.31496062992125984" footer="0.31496062992125984"/>
  <pageSetup scale="3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69"/>
  <sheetViews>
    <sheetView topLeftCell="A35" workbookViewId="0">
      <selection activeCell="L52" sqref="L52"/>
    </sheetView>
  </sheetViews>
  <sheetFormatPr baseColWidth="10" defaultRowHeight="15" x14ac:dyDescent="0.25"/>
  <cols>
    <col min="1" max="3" width="1.28515625" customWidth="1"/>
    <col min="4" max="4" width="30.7109375" customWidth="1"/>
    <col min="5" max="5" width="4.28515625" style="11" customWidth="1"/>
    <col min="6" max="6" width="5.5703125" style="142" customWidth="1"/>
    <col min="7" max="7" width="11" style="142" customWidth="1"/>
    <col min="8" max="8" width="16.5703125" style="1" customWidth="1"/>
    <col min="9" max="9" width="4.7109375" style="6" customWidth="1"/>
    <col min="10" max="10" width="4.7109375" style="36" customWidth="1"/>
    <col min="11" max="11" width="11.140625" style="6" customWidth="1"/>
    <col min="12" max="12" width="16.7109375" style="1" customWidth="1"/>
    <col min="13" max="13" width="5.42578125" style="6" customWidth="1"/>
    <col min="14" max="14" width="4.28515625" style="6" customWidth="1"/>
    <col min="15" max="15" width="11.140625" style="6" customWidth="1"/>
    <col min="16" max="16" width="16.85546875" style="6" customWidth="1"/>
    <col min="17" max="17" width="5.140625" style="6" customWidth="1"/>
    <col min="18" max="18" width="1.28515625" customWidth="1"/>
  </cols>
  <sheetData>
    <row r="1" spans="1:18" ht="56.25" customHeight="1" x14ac:dyDescent="0.25">
      <c r="A1" s="294" t="str">
        <f>NOTES!A1</f>
        <v>PROJET NOVATEUR (APPEL DE PROPOSITIONS 2017): 
CISSS/BSL UNE VOIE PARTAGÉE / ADOLESCENTS - VICTIMES</v>
      </c>
      <c r="B1" s="294"/>
      <c r="C1" s="294"/>
      <c r="D1" s="294"/>
      <c r="E1" s="294"/>
      <c r="F1" s="294"/>
      <c r="G1" s="294"/>
      <c r="H1" s="294"/>
      <c r="I1" s="294"/>
      <c r="J1" s="294"/>
      <c r="K1" s="294"/>
      <c r="L1" s="294"/>
      <c r="M1" s="294"/>
      <c r="N1" s="294"/>
      <c r="O1" s="294"/>
      <c r="P1" s="294"/>
      <c r="Q1" s="294"/>
      <c r="R1" s="294"/>
    </row>
    <row r="2" spans="1:18" ht="26.25" x14ac:dyDescent="0.4">
      <c r="A2" s="322" t="s">
        <v>118</v>
      </c>
      <c r="B2" s="322"/>
      <c r="C2" s="322"/>
      <c r="D2" s="322"/>
      <c r="E2" s="322"/>
      <c r="F2" s="322"/>
      <c r="G2" s="322"/>
      <c r="H2" s="322"/>
      <c r="I2" s="322"/>
      <c r="J2" s="322"/>
      <c r="K2" s="322"/>
      <c r="L2" s="322"/>
      <c r="M2" s="322"/>
      <c r="N2" s="322"/>
      <c r="O2" s="322"/>
      <c r="P2" s="322"/>
      <c r="Q2" s="322"/>
      <c r="R2" s="322"/>
    </row>
    <row r="3" spans="1:18" ht="2.25" customHeight="1" x14ac:dyDescent="0.25"/>
    <row r="4" spans="1:18" s="10" customFormat="1" ht="21" x14ac:dyDescent="0.35">
      <c r="A4" s="38"/>
      <c r="B4" s="291" t="s">
        <v>18</v>
      </c>
      <c r="C4" s="291"/>
      <c r="D4" s="291"/>
      <c r="E4" s="291"/>
      <c r="F4" s="291"/>
      <c r="G4" s="291"/>
      <c r="H4" s="291"/>
      <c r="I4" s="291"/>
      <c r="J4" s="291"/>
      <c r="K4" s="291"/>
      <c r="L4" s="291"/>
      <c r="M4" s="291"/>
      <c r="N4" s="291"/>
      <c r="O4" s="291"/>
      <c r="P4" s="291"/>
      <c r="Q4" s="291"/>
      <c r="R4" s="38"/>
    </row>
    <row r="5" spans="1:18" s="15" customFormat="1" ht="16.5" customHeight="1" x14ac:dyDescent="0.25">
      <c r="A5" s="39"/>
      <c r="B5" s="328" t="s">
        <v>8</v>
      </c>
      <c r="C5" s="328"/>
      <c r="D5" s="328"/>
      <c r="E5" s="12" t="s">
        <v>9</v>
      </c>
      <c r="F5" s="206" t="s">
        <v>10</v>
      </c>
      <c r="G5" s="206" t="s">
        <v>11</v>
      </c>
      <c r="H5" s="14" t="s">
        <v>1</v>
      </c>
      <c r="I5" s="14" t="s">
        <v>33</v>
      </c>
      <c r="J5" s="189" t="s">
        <v>10</v>
      </c>
      <c r="K5" s="182" t="s">
        <v>11</v>
      </c>
      <c r="L5" s="75" t="s">
        <v>1</v>
      </c>
      <c r="M5" s="182" t="s">
        <v>33</v>
      </c>
      <c r="N5" s="186" t="s">
        <v>10</v>
      </c>
      <c r="O5" s="182" t="s">
        <v>11</v>
      </c>
      <c r="P5" s="182" t="s">
        <v>1</v>
      </c>
      <c r="Q5" s="182" t="s">
        <v>33</v>
      </c>
      <c r="R5" s="39"/>
    </row>
    <row r="6" spans="1:18" ht="16.5" customHeight="1" x14ac:dyDescent="0.25">
      <c r="A6" s="40"/>
      <c r="B6" s="20" t="s">
        <v>12</v>
      </c>
      <c r="C6" s="21"/>
      <c r="D6" s="21"/>
      <c r="E6" s="22"/>
      <c r="F6" s="23"/>
      <c r="G6" s="23"/>
      <c r="H6" s="24"/>
      <c r="I6" s="176"/>
      <c r="J6" s="324" t="s">
        <v>106</v>
      </c>
      <c r="K6" s="325"/>
      <c r="L6" s="325"/>
      <c r="M6" s="325"/>
      <c r="N6" s="329" t="s">
        <v>107</v>
      </c>
      <c r="O6" s="330"/>
      <c r="P6" s="330"/>
      <c r="Q6" s="330"/>
      <c r="R6" s="40"/>
    </row>
    <row r="7" spans="1:18" ht="16.5" customHeight="1" x14ac:dyDescent="0.25">
      <c r="A7" s="40"/>
      <c r="C7" s="43" t="s">
        <v>0</v>
      </c>
      <c r="D7" s="43"/>
      <c r="E7" s="44"/>
      <c r="F7" s="45">
        <v>1</v>
      </c>
      <c r="G7" s="211" t="str">
        <f>' BUDGET 2019-2021 AN 1'!G7</f>
        <v>Déléguée J</v>
      </c>
      <c r="I7" s="143">
        <f>(H8+H9)/H28</f>
        <v>0.2002935711889926</v>
      </c>
      <c r="J7" s="190"/>
      <c r="K7" s="204" t="str">
        <f>G7</f>
        <v>Déléguée J</v>
      </c>
      <c r="L7" s="65"/>
      <c r="M7" s="108">
        <f>SUM(L8:L9)/SUM(P8:P9)</f>
        <v>0</v>
      </c>
      <c r="N7" s="202"/>
      <c r="O7" s="204" t="str">
        <f>K7</f>
        <v>Déléguée J</v>
      </c>
      <c r="P7" s="108"/>
      <c r="Q7" s="143">
        <f>(P8+P9)/P28</f>
        <v>0.13137872634266462</v>
      </c>
      <c r="R7" s="40"/>
    </row>
    <row r="8" spans="1:18" ht="16.5" customHeight="1" x14ac:dyDescent="0.25">
      <c r="A8" s="40"/>
      <c r="D8" s="2" t="s">
        <v>119</v>
      </c>
      <c r="E8" s="13"/>
      <c r="F8" s="5">
        <v>22</v>
      </c>
      <c r="G8" s="5" t="s">
        <v>2</v>
      </c>
      <c r="H8" s="1">
        <f>F8*'HYPOTHÈSE $'!L7</f>
        <v>7162.848</v>
      </c>
      <c r="J8" s="191"/>
      <c r="K8" s="187" t="str">
        <f t="shared" ref="K8:K25" si="0">G8</f>
        <v>Jour</v>
      </c>
      <c r="L8" s="65"/>
      <c r="M8" s="188"/>
      <c r="N8" s="191">
        <f>J8+F8</f>
        <v>22</v>
      </c>
      <c r="O8" s="205" t="str">
        <f t="shared" ref="O8:O25" si="1">K8</f>
        <v>Jour</v>
      </c>
      <c r="P8" s="188">
        <f>H8+L8</f>
        <v>7162.848</v>
      </c>
      <c r="Q8" s="188"/>
      <c r="R8" s="40"/>
    </row>
    <row r="9" spans="1:18" ht="16.5" customHeight="1" x14ac:dyDescent="0.25">
      <c r="A9" s="40"/>
      <c r="D9" s="2"/>
      <c r="E9" s="13"/>
      <c r="F9" s="5"/>
      <c r="G9" s="5"/>
      <c r="H9" s="1">
        <f>F9*'HYPOTHÈSE $'!F7</f>
        <v>0</v>
      </c>
      <c r="J9" s="191"/>
      <c r="K9" s="187">
        <f t="shared" si="0"/>
        <v>0</v>
      </c>
      <c r="L9" s="65"/>
      <c r="M9" s="188"/>
      <c r="N9" s="191">
        <f t="shared" ref="N9:N25" si="2">J9+F9</f>
        <v>0</v>
      </c>
      <c r="O9" s="205">
        <f t="shared" si="1"/>
        <v>0</v>
      </c>
      <c r="P9" s="188">
        <f t="shared" ref="P9:P25" si="3">H9+L9</f>
        <v>0</v>
      </c>
      <c r="Q9" s="188"/>
      <c r="R9" s="40"/>
    </row>
    <row r="10" spans="1:18" ht="17.25" customHeight="1" x14ac:dyDescent="0.25">
      <c r="A10" s="40"/>
      <c r="C10" s="43" t="s">
        <v>189</v>
      </c>
      <c r="D10" s="43"/>
      <c r="E10" s="44"/>
      <c r="F10" s="46"/>
      <c r="G10" s="46"/>
      <c r="I10" s="143">
        <f>SUM(H11:H17)/H28</f>
        <v>0.18630565571892124</v>
      </c>
      <c r="J10" s="190"/>
      <c r="K10" s="187"/>
      <c r="L10" s="65"/>
      <c r="M10" s="108">
        <f>SUM(L11:L17)/SUM(P11:P17)</f>
        <v>0.50385342229429575</v>
      </c>
      <c r="N10" s="191"/>
      <c r="O10" s="205"/>
      <c r="P10" s="188"/>
      <c r="Q10" s="143">
        <f>SUM(P11:P17)/P28</f>
        <v>0.24630548102688521</v>
      </c>
      <c r="R10" s="40"/>
    </row>
    <row r="11" spans="1:18" x14ac:dyDescent="0.25">
      <c r="A11" s="40"/>
      <c r="B11" s="90"/>
      <c r="D11" t="s">
        <v>86</v>
      </c>
      <c r="F11" s="147">
        <f>ACTIVITÉS!P28</f>
        <v>55.986000000000004</v>
      </c>
      <c r="G11" s="5" t="s">
        <v>5</v>
      </c>
      <c r="H11" s="144">
        <f>F11*'HYPOTHÈSE $'!O10</f>
        <v>1677.7660536000001</v>
      </c>
      <c r="I11" s="177"/>
      <c r="J11" s="192"/>
      <c r="K11" s="187" t="str">
        <f t="shared" si="0"/>
        <v>Heure</v>
      </c>
      <c r="L11" s="145"/>
      <c r="M11" s="146"/>
      <c r="N11" s="191">
        <f t="shared" si="2"/>
        <v>55.986000000000004</v>
      </c>
      <c r="O11" s="205" t="str">
        <f t="shared" si="1"/>
        <v>Heure</v>
      </c>
      <c r="P11" s="188">
        <f t="shared" si="3"/>
        <v>1677.7660536000001</v>
      </c>
      <c r="Q11" s="146"/>
      <c r="R11" s="40"/>
    </row>
    <row r="12" spans="1:18" x14ac:dyDescent="0.25">
      <c r="A12" s="40"/>
      <c r="D12" t="s">
        <v>87</v>
      </c>
      <c r="F12" s="148">
        <f>ACTIVITÉS!P27</f>
        <v>36</v>
      </c>
      <c r="G12" s="5" t="s">
        <v>5</v>
      </c>
      <c r="H12" s="144">
        <f>F12*'HYPOTHÈSE $'!O9</f>
        <v>1211.7600000000002</v>
      </c>
      <c r="I12" s="177"/>
      <c r="J12" s="192"/>
      <c r="K12" s="187" t="str">
        <f t="shared" si="0"/>
        <v>Heure</v>
      </c>
      <c r="L12" s="145"/>
      <c r="M12" s="146"/>
      <c r="N12" s="191">
        <f t="shared" si="2"/>
        <v>36</v>
      </c>
      <c r="O12" s="205" t="str">
        <f t="shared" si="1"/>
        <v>Heure</v>
      </c>
      <c r="P12" s="188">
        <f t="shared" si="3"/>
        <v>1211.7600000000002</v>
      </c>
      <c r="Q12" s="146"/>
      <c r="R12" s="40"/>
    </row>
    <row r="13" spans="1:18" x14ac:dyDescent="0.25">
      <c r="A13" s="40"/>
      <c r="D13" t="s">
        <v>88</v>
      </c>
      <c r="F13" s="148">
        <f>ACTIVITÉS!P30</f>
        <v>55.986000000000004</v>
      </c>
      <c r="G13" s="5" t="s">
        <v>5</v>
      </c>
      <c r="H13" s="144">
        <f>F13*'HYPOTHÈSE $'!O10</f>
        <v>1677.7660536000001</v>
      </c>
      <c r="I13" s="177"/>
      <c r="J13" s="192"/>
      <c r="K13" s="187" t="str">
        <f t="shared" si="0"/>
        <v>Heure</v>
      </c>
      <c r="L13" s="145"/>
      <c r="M13" s="146"/>
      <c r="N13" s="191">
        <f t="shared" si="2"/>
        <v>55.986000000000004</v>
      </c>
      <c r="O13" s="205" t="str">
        <f t="shared" si="1"/>
        <v>Heure</v>
      </c>
      <c r="P13" s="188">
        <f t="shared" si="3"/>
        <v>1677.7660536000001</v>
      </c>
      <c r="Q13" s="146"/>
      <c r="R13" s="40"/>
    </row>
    <row r="14" spans="1:18" x14ac:dyDescent="0.25">
      <c r="A14" s="40"/>
      <c r="D14" t="s">
        <v>89</v>
      </c>
      <c r="F14" s="148">
        <f>ACTIVITÉS!P29</f>
        <v>36</v>
      </c>
      <c r="G14" s="5" t="s">
        <v>5</v>
      </c>
      <c r="H14" s="1">
        <f>F14*'HYPOTHÈSE $'!O9</f>
        <v>1211.7600000000002</v>
      </c>
      <c r="J14" s="191"/>
      <c r="K14" s="187" t="str">
        <f t="shared" si="0"/>
        <v>Heure</v>
      </c>
      <c r="L14" s="65"/>
      <c r="M14" s="100"/>
      <c r="N14" s="191">
        <f t="shared" si="2"/>
        <v>36</v>
      </c>
      <c r="O14" s="205" t="str">
        <f t="shared" si="1"/>
        <v>Heure</v>
      </c>
      <c r="P14" s="188">
        <f t="shared" si="3"/>
        <v>1211.7600000000002</v>
      </c>
      <c r="Q14" s="100"/>
      <c r="R14" s="40"/>
    </row>
    <row r="15" spans="1:18" x14ac:dyDescent="0.25">
      <c r="A15" s="40"/>
      <c r="D15" t="s">
        <v>90</v>
      </c>
      <c r="F15" s="149">
        <f>ACTIVITÉS!P31-ACTIVITÉS!P31</f>
        <v>0</v>
      </c>
      <c r="G15" s="5" t="s">
        <v>5</v>
      </c>
      <c r="H15" s="1">
        <f>F15*'HYPOTHÈSE $'!O11</f>
        <v>0</v>
      </c>
      <c r="J15" s="191">
        <f>ACTIVITÉS!P31</f>
        <v>22</v>
      </c>
      <c r="K15" s="187" t="str">
        <f t="shared" si="0"/>
        <v>Heure</v>
      </c>
      <c r="L15" s="65">
        <f>J15*'HYPOTHÈSE $'!O11</f>
        <v>897.59999999999991</v>
      </c>
      <c r="M15" s="188"/>
      <c r="N15" s="191">
        <f t="shared" si="2"/>
        <v>22</v>
      </c>
      <c r="O15" s="205" t="str">
        <f t="shared" si="1"/>
        <v>Heure</v>
      </c>
      <c r="P15" s="188">
        <f t="shared" si="3"/>
        <v>897.59999999999991</v>
      </c>
      <c r="Q15" s="188"/>
      <c r="R15" s="40"/>
    </row>
    <row r="16" spans="1:18" x14ac:dyDescent="0.25">
      <c r="A16" s="40"/>
      <c r="D16" t="s">
        <v>91</v>
      </c>
      <c r="F16" s="149">
        <f>ACTIVITÉS!P33-ACTIVITÉS!G33</f>
        <v>14</v>
      </c>
      <c r="G16" s="5" t="s">
        <v>5</v>
      </c>
      <c r="H16" s="1">
        <f>F16*'HYPOTHÈSE $'!O8</f>
        <v>733.56359999999995</v>
      </c>
      <c r="J16" s="191">
        <f>ACTIVITÉS!P33</f>
        <v>112</v>
      </c>
      <c r="K16" s="187" t="str">
        <f t="shared" si="0"/>
        <v>Heure</v>
      </c>
      <c r="L16" s="65">
        <f>J16*'HYPOTHÈSE $'!O8</f>
        <v>5868.5087999999996</v>
      </c>
      <c r="M16" s="188"/>
      <c r="N16" s="191">
        <f t="shared" si="2"/>
        <v>126</v>
      </c>
      <c r="O16" s="205" t="str">
        <f t="shared" si="1"/>
        <v>Heure</v>
      </c>
      <c r="P16" s="188">
        <f t="shared" si="3"/>
        <v>6602.0723999999991</v>
      </c>
      <c r="Q16" s="188"/>
      <c r="R16" s="40"/>
    </row>
    <row r="17" spans="1:18" x14ac:dyDescent="0.25">
      <c r="A17" s="40"/>
      <c r="D17" t="s">
        <v>93</v>
      </c>
      <c r="F17" s="149">
        <f>ACTIVITÉS!P35</f>
        <v>3</v>
      </c>
      <c r="G17" s="142" t="s">
        <v>94</v>
      </c>
      <c r="H17" s="1">
        <f>F17*'HYPOTHÈSE $'!L13</f>
        <v>150</v>
      </c>
      <c r="J17" s="191"/>
      <c r="K17" s="187" t="str">
        <f t="shared" si="0"/>
        <v>Présence</v>
      </c>
      <c r="L17" s="65"/>
      <c r="M17" s="188"/>
      <c r="N17" s="191">
        <f t="shared" si="2"/>
        <v>3</v>
      </c>
      <c r="O17" s="205" t="str">
        <f t="shared" si="1"/>
        <v>Présence</v>
      </c>
      <c r="P17" s="188">
        <f t="shared" si="3"/>
        <v>150</v>
      </c>
      <c r="Q17" s="188"/>
      <c r="R17" s="40"/>
    </row>
    <row r="18" spans="1:18" x14ac:dyDescent="0.25">
      <c r="A18" s="40"/>
      <c r="C18" s="43" t="s">
        <v>121</v>
      </c>
      <c r="E18" s="57"/>
      <c r="F18" s="150"/>
      <c r="I18" s="143">
        <f>SUM(H19:H25)/$H$28</f>
        <v>0.61340077309208618</v>
      </c>
      <c r="J18" s="190"/>
      <c r="K18" s="187"/>
      <c r="L18" s="65"/>
      <c r="M18" s="108">
        <f>SUM(L19:L25)/SUM(P19:P25)</f>
        <v>0.35346575372116684</v>
      </c>
      <c r="N18" s="191"/>
      <c r="O18" s="205"/>
      <c r="P18" s="188"/>
      <c r="Q18" s="143">
        <f>SUM(P19:P25)/$P$28</f>
        <v>0.62231579263045023</v>
      </c>
      <c r="R18" s="40"/>
    </row>
    <row r="19" spans="1:18" x14ac:dyDescent="0.25">
      <c r="A19" s="40"/>
      <c r="D19" t="s">
        <v>86</v>
      </c>
      <c r="F19" s="142">
        <f>ACTIVITÉS!AJ28-ACTIVITÉS!AG28</f>
        <v>393</v>
      </c>
      <c r="G19" s="142" t="s">
        <v>5</v>
      </c>
      <c r="H19" s="212">
        <f>F19*'HYPOTHÈSE $'!O10</f>
        <v>11777.266800000001</v>
      </c>
      <c r="I19" s="213"/>
      <c r="J19" s="214">
        <f>ACTIVITÉS!AG28</f>
        <v>42</v>
      </c>
      <c r="K19" s="215" t="str">
        <f t="shared" si="0"/>
        <v>Heure</v>
      </c>
      <c r="L19" s="216">
        <f>J19*'HYPOTHÈSE $'!O10</f>
        <v>1258.6392000000001</v>
      </c>
      <c r="M19" s="188"/>
      <c r="N19" s="191">
        <f t="shared" si="2"/>
        <v>435</v>
      </c>
      <c r="O19" s="205" t="str">
        <f t="shared" si="1"/>
        <v>Heure</v>
      </c>
      <c r="P19" s="188">
        <f t="shared" si="3"/>
        <v>13035.906000000001</v>
      </c>
      <c r="Q19" s="188"/>
      <c r="R19" s="40"/>
    </row>
    <row r="20" spans="1:18" x14ac:dyDescent="0.25">
      <c r="A20" s="40"/>
      <c r="D20" t="s">
        <v>87</v>
      </c>
      <c r="F20" s="142">
        <f>ACTIVITÉS!AJ27</f>
        <v>0</v>
      </c>
      <c r="G20" s="142" t="s">
        <v>5</v>
      </c>
      <c r="H20" s="1">
        <f>F20*'HYPOTHÈSE $'!O9</f>
        <v>0</v>
      </c>
      <c r="J20" s="191"/>
      <c r="K20" s="187" t="str">
        <f t="shared" si="0"/>
        <v>Heure</v>
      </c>
      <c r="L20" s="65"/>
      <c r="M20" s="188"/>
      <c r="N20" s="191">
        <f t="shared" si="2"/>
        <v>0</v>
      </c>
      <c r="O20" s="205" t="str">
        <f t="shared" si="1"/>
        <v>Heure</v>
      </c>
      <c r="P20" s="188">
        <f t="shared" si="3"/>
        <v>0</v>
      </c>
      <c r="Q20" s="188"/>
      <c r="R20" s="40"/>
    </row>
    <row r="21" spans="1:18" x14ac:dyDescent="0.25">
      <c r="A21" s="40"/>
      <c r="D21" t="s">
        <v>88</v>
      </c>
      <c r="F21" s="142">
        <f>ACTIVITÉS!AJ30-ACTIVITÉS!AI30</f>
        <v>339</v>
      </c>
      <c r="G21" s="142" t="s">
        <v>5</v>
      </c>
      <c r="H21" s="1">
        <f>F21*'HYPOTHÈSE $'!O10</f>
        <v>10159.0164</v>
      </c>
      <c r="J21" s="191">
        <f>ACTIVITÉS!AI30</f>
        <v>60</v>
      </c>
      <c r="K21" s="187" t="str">
        <f t="shared" si="0"/>
        <v>Heure</v>
      </c>
      <c r="L21" s="65">
        <f>J21*'HYPOTHÈSE $'!O10</f>
        <v>1798.056</v>
      </c>
      <c r="M21" s="188"/>
      <c r="N21" s="191">
        <f>J21+F21</f>
        <v>399</v>
      </c>
      <c r="O21" s="205" t="str">
        <f t="shared" si="1"/>
        <v>Heure</v>
      </c>
      <c r="P21" s="188">
        <f t="shared" si="3"/>
        <v>11957.072400000001</v>
      </c>
      <c r="Q21" s="188"/>
      <c r="R21" s="40"/>
    </row>
    <row r="22" spans="1:18" x14ac:dyDescent="0.25">
      <c r="A22" s="40"/>
      <c r="D22" t="s">
        <v>89</v>
      </c>
      <c r="F22" s="142">
        <f>ACTIVITÉS!AJ29-ACTIVITÉS!AI29</f>
        <v>0</v>
      </c>
      <c r="G22" s="142" t="s">
        <v>5</v>
      </c>
      <c r="H22" s="1">
        <f>F22*'HYPOTHÈSE $'!O9</f>
        <v>0</v>
      </c>
      <c r="J22" s="191">
        <f>ACTIVITÉS!AI29</f>
        <v>60</v>
      </c>
      <c r="K22" s="187" t="str">
        <f t="shared" si="0"/>
        <v>Heure</v>
      </c>
      <c r="L22" s="65">
        <f>J22*'HYPOTHÈSE $'!O9</f>
        <v>2019.6000000000001</v>
      </c>
      <c r="M22" s="188"/>
      <c r="N22" s="191">
        <f t="shared" si="2"/>
        <v>60</v>
      </c>
      <c r="O22" s="205" t="str">
        <f t="shared" si="1"/>
        <v>Heure</v>
      </c>
      <c r="P22" s="188">
        <f t="shared" si="3"/>
        <v>2019.6000000000001</v>
      </c>
      <c r="Q22" s="188"/>
      <c r="R22" s="40"/>
    </row>
    <row r="23" spans="1:18" x14ac:dyDescent="0.25">
      <c r="A23" s="40"/>
      <c r="D23" t="s">
        <v>90</v>
      </c>
      <c r="F23" s="142">
        <f>ACTIVITÉS!AJ31</f>
        <v>0</v>
      </c>
      <c r="G23" s="142" t="s">
        <v>5</v>
      </c>
      <c r="H23" s="1">
        <f>F23*'HYPOTHÈSE $'!O11</f>
        <v>0</v>
      </c>
      <c r="J23" s="191"/>
      <c r="K23" s="187" t="str">
        <f t="shared" si="0"/>
        <v>Heure</v>
      </c>
      <c r="L23" s="65">
        <f>J23*'HYPOTHÈSE $'!O11</f>
        <v>0</v>
      </c>
      <c r="M23" s="188"/>
      <c r="N23" s="191">
        <f t="shared" si="2"/>
        <v>0</v>
      </c>
      <c r="O23" s="205" t="str">
        <f t="shared" si="1"/>
        <v>Heure</v>
      </c>
      <c r="P23" s="188">
        <f t="shared" si="3"/>
        <v>0</v>
      </c>
      <c r="Q23" s="188"/>
      <c r="R23" s="40"/>
    </row>
    <row r="24" spans="1:18" x14ac:dyDescent="0.25">
      <c r="A24" s="40"/>
      <c r="D24" t="s">
        <v>91</v>
      </c>
      <c r="F24" s="142">
        <f>ACTIVITÉS!AJ33-ACTIVITÉS!AJ33</f>
        <v>0</v>
      </c>
      <c r="G24" s="142" t="s">
        <v>5</v>
      </c>
      <c r="H24" s="1">
        <f>F24*'HYPOTHÈSE $'!O8</f>
        <v>0</v>
      </c>
      <c r="J24" s="191">
        <f>ACTIVITÉS!AJ33</f>
        <v>132</v>
      </c>
      <c r="K24" s="187" t="str">
        <f t="shared" si="0"/>
        <v>Heure</v>
      </c>
      <c r="L24" s="65">
        <f>J24*'HYPOTHÈSE $'!O8</f>
        <v>6916.4567999999999</v>
      </c>
      <c r="M24" s="188"/>
      <c r="N24" s="191">
        <f t="shared" si="2"/>
        <v>132</v>
      </c>
      <c r="O24" s="205" t="str">
        <f t="shared" si="1"/>
        <v>Heure</v>
      </c>
      <c r="P24" s="188">
        <f t="shared" si="3"/>
        <v>6916.4567999999999</v>
      </c>
      <c r="Q24" s="188"/>
      <c r="R24" s="40"/>
    </row>
    <row r="25" spans="1:18" x14ac:dyDescent="0.25">
      <c r="A25" s="40"/>
      <c r="D25" t="s">
        <v>93</v>
      </c>
      <c r="F25" s="217">
        <f>ACTIVITÉS!AJ35</f>
        <v>0</v>
      </c>
      <c r="G25" s="142" t="s">
        <v>94</v>
      </c>
      <c r="H25" s="1">
        <f>F25*'HYPOTHÈSE $'!L13</f>
        <v>0</v>
      </c>
      <c r="J25" s="191"/>
      <c r="K25" s="187" t="str">
        <f t="shared" si="0"/>
        <v>Présence</v>
      </c>
      <c r="L25" s="65"/>
      <c r="M25" s="188"/>
      <c r="N25" s="191">
        <f t="shared" si="2"/>
        <v>0</v>
      </c>
      <c r="O25" s="205" t="str">
        <f t="shared" si="1"/>
        <v>Présence</v>
      </c>
      <c r="P25" s="188">
        <f t="shared" si="3"/>
        <v>0</v>
      </c>
      <c r="Q25" s="188"/>
      <c r="R25" s="40"/>
    </row>
    <row r="26" spans="1:18" x14ac:dyDescent="0.25">
      <c r="A26" s="40"/>
      <c r="C26" s="43"/>
      <c r="D26" s="43"/>
      <c r="E26" s="41"/>
      <c r="F26" s="46"/>
      <c r="G26" s="46"/>
      <c r="J26" s="191"/>
      <c r="K26" s="187"/>
      <c r="L26" s="65"/>
      <c r="M26" s="108"/>
      <c r="N26" s="202"/>
      <c r="O26" s="205"/>
      <c r="P26" s="108"/>
      <c r="Q26" s="108"/>
      <c r="R26" s="40"/>
    </row>
    <row r="27" spans="1:18" x14ac:dyDescent="0.25">
      <c r="A27" s="40"/>
      <c r="F27" s="98"/>
      <c r="H27" s="145"/>
      <c r="I27" s="178"/>
      <c r="J27" s="192"/>
      <c r="K27" s="187"/>
      <c r="L27" s="145"/>
      <c r="M27" s="146"/>
      <c r="N27" s="203"/>
      <c r="O27" s="205"/>
      <c r="P27" s="146"/>
      <c r="Q27" s="146"/>
      <c r="R27" s="40"/>
    </row>
    <row r="28" spans="1:18" ht="15.75" thickBot="1" x14ac:dyDescent="0.3">
      <c r="A28" s="40"/>
      <c r="B28" s="16" t="s">
        <v>14</v>
      </c>
      <c r="C28" s="16"/>
      <c r="D28" s="16"/>
      <c r="E28" s="17"/>
      <c r="F28" s="18"/>
      <c r="G28" s="18"/>
      <c r="H28" s="19">
        <f>SUM(H8:H27)</f>
        <v>35761.746907200002</v>
      </c>
      <c r="I28" s="207">
        <f>H28/H59</f>
        <v>0.70953908606594673</v>
      </c>
      <c r="J28" s="193"/>
      <c r="K28" s="52"/>
      <c r="L28" s="19">
        <f>SUM(L8:L27)</f>
        <v>18758.860800000002</v>
      </c>
      <c r="M28" s="52">
        <f>L28/P28</f>
        <v>0.34406918023994632</v>
      </c>
      <c r="N28" s="193"/>
      <c r="O28" s="52"/>
      <c r="P28" s="19">
        <f>SUM(P8:P27)</f>
        <v>54520.607707199997</v>
      </c>
      <c r="Q28" s="207">
        <f>P28/P59</f>
        <v>0.77086275254075221</v>
      </c>
      <c r="R28" s="40"/>
    </row>
    <row r="29" spans="1:18" ht="5.25" customHeight="1" thickTop="1" x14ac:dyDescent="0.25">
      <c r="A29" s="40"/>
      <c r="R29" s="40"/>
    </row>
    <row r="30" spans="1:18" x14ac:dyDescent="0.25">
      <c r="A30" s="40"/>
      <c r="B30" s="20" t="s">
        <v>124</v>
      </c>
      <c r="C30" s="20"/>
      <c r="D30" s="20"/>
      <c r="E30" s="25"/>
      <c r="F30" s="26"/>
      <c r="G30" s="26"/>
      <c r="H30" s="27"/>
      <c r="I30" s="53"/>
      <c r="J30" s="324" t="s">
        <v>106</v>
      </c>
      <c r="K30" s="325"/>
      <c r="L30" s="325"/>
      <c r="M30" s="325"/>
      <c r="N30" s="329" t="s">
        <v>107</v>
      </c>
      <c r="O30" s="330"/>
      <c r="P30" s="330"/>
      <c r="Q30" s="330"/>
      <c r="R30" s="40"/>
    </row>
    <row r="31" spans="1:18" x14ac:dyDescent="0.25">
      <c r="A31" s="40"/>
      <c r="D31" t="str">
        <f>'HYPOTHÈSE $'!B19</f>
        <v>Papeterie</v>
      </c>
      <c r="H31" s="37">
        <f>'HYPOTHÈSE $'!D19</f>
        <v>355</v>
      </c>
      <c r="J31" s="191"/>
      <c r="N31" s="191"/>
      <c r="P31" s="6">
        <f>H31+L31</f>
        <v>355</v>
      </c>
      <c r="R31" s="40"/>
    </row>
    <row r="32" spans="1:18" x14ac:dyDescent="0.25">
      <c r="A32" s="40"/>
      <c r="F32" s="98"/>
      <c r="H32" s="37"/>
      <c r="J32" s="191"/>
      <c r="K32" s="179"/>
      <c r="L32" s="117"/>
      <c r="N32" s="191"/>
      <c r="O32" s="99"/>
      <c r="P32" s="99"/>
      <c r="Q32" s="99"/>
      <c r="R32" s="40"/>
    </row>
    <row r="33" spans="1:18" x14ac:dyDescent="0.25">
      <c r="A33" s="40"/>
      <c r="H33" s="37"/>
      <c r="J33" s="191"/>
      <c r="K33" s="180"/>
      <c r="L33" s="37"/>
      <c r="N33" s="191"/>
      <c r="O33" s="54"/>
      <c r="P33" s="54"/>
      <c r="Q33" s="54"/>
      <c r="R33" s="40"/>
    </row>
    <row r="34" spans="1:18" x14ac:dyDescent="0.25">
      <c r="A34" s="40"/>
      <c r="H34" s="37"/>
      <c r="J34" s="191"/>
      <c r="N34" s="191"/>
      <c r="R34" s="40"/>
    </row>
    <row r="35" spans="1:18" x14ac:dyDescent="0.25">
      <c r="A35" s="40"/>
      <c r="H35" s="37"/>
      <c r="J35" s="191"/>
      <c r="N35" s="191"/>
      <c r="R35" s="40"/>
    </row>
    <row r="36" spans="1:18" ht="15.75" thickBot="1" x14ac:dyDescent="0.3">
      <c r="A36" s="40"/>
      <c r="B36" s="16" t="s">
        <v>15</v>
      </c>
      <c r="C36" s="16"/>
      <c r="D36" s="16"/>
      <c r="E36" s="17"/>
      <c r="F36" s="18"/>
      <c r="G36" s="18"/>
      <c r="H36" s="19">
        <f>SUM(H31:H35)</f>
        <v>355</v>
      </c>
      <c r="I36" s="207">
        <f>H36/H59</f>
        <v>7.0434583692749689E-3</v>
      </c>
      <c r="J36" s="193"/>
      <c r="K36" s="181"/>
      <c r="L36" s="19"/>
      <c r="M36" s="52">
        <f>L36/P36</f>
        <v>0</v>
      </c>
      <c r="N36" s="193"/>
      <c r="O36" s="196"/>
      <c r="P36" s="210">
        <f>SUM(P31:P35)</f>
        <v>355</v>
      </c>
      <c r="Q36" s="52">
        <f>P36/P59</f>
        <v>5.0193181745446314E-3</v>
      </c>
      <c r="R36" s="40"/>
    </row>
    <row r="37" spans="1:18" ht="5.25" customHeight="1" thickTop="1" x14ac:dyDescent="0.25">
      <c r="A37" s="40"/>
      <c r="R37" s="40"/>
    </row>
    <row r="38" spans="1:18" x14ac:dyDescent="0.25">
      <c r="A38" s="40"/>
      <c r="B38" s="28" t="s">
        <v>108</v>
      </c>
      <c r="C38" s="28"/>
      <c r="D38" s="28"/>
      <c r="E38" s="29"/>
      <c r="F38" s="30"/>
      <c r="G38" s="30"/>
      <c r="H38" s="31"/>
      <c r="I38" s="55"/>
      <c r="J38" s="324" t="s">
        <v>106</v>
      </c>
      <c r="K38" s="325"/>
      <c r="L38" s="325"/>
      <c r="M38" s="325"/>
      <c r="N38" s="329" t="s">
        <v>107</v>
      </c>
      <c r="O38" s="330"/>
      <c r="P38" s="330"/>
      <c r="Q38" s="330"/>
      <c r="R38" s="40"/>
    </row>
    <row r="39" spans="1:18" x14ac:dyDescent="0.25">
      <c r="A39" s="40"/>
      <c r="C39" s="33" t="s">
        <v>122</v>
      </c>
      <c r="D39" s="33"/>
      <c r="F39" s="42"/>
      <c r="G39" s="42"/>
      <c r="J39" s="191"/>
      <c r="N39" s="191"/>
      <c r="P39" s="6">
        <f t="shared" ref="P39:P46" si="4">H39+L39</f>
        <v>0</v>
      </c>
      <c r="R39" s="40"/>
    </row>
    <row r="40" spans="1:18" x14ac:dyDescent="0.25">
      <c r="A40" s="40"/>
      <c r="C40" s="33"/>
      <c r="D40" s="33" t="str">
        <f>'HYPOTHÈSE $'!B24</f>
        <v>À définir</v>
      </c>
      <c r="F40" s="42"/>
      <c r="G40" s="42"/>
      <c r="H40" s="1">
        <f>'HYPOTHÈSE $'!D24</f>
        <v>700</v>
      </c>
      <c r="J40" s="191"/>
      <c r="N40" s="191"/>
      <c r="P40" s="6">
        <f t="shared" si="4"/>
        <v>700</v>
      </c>
      <c r="R40" s="40"/>
    </row>
    <row r="41" spans="1:18" x14ac:dyDescent="0.25">
      <c r="A41" s="40"/>
      <c r="C41" s="33"/>
      <c r="D41" s="33" t="str">
        <f>'HYPOTHÈSE $'!B25</f>
        <v>Inscription colloque</v>
      </c>
      <c r="F41" s="42"/>
      <c r="G41" s="42"/>
      <c r="H41" s="1">
        <f>'HYPOTHÈSE $'!D25</f>
        <v>1000</v>
      </c>
      <c r="J41" s="191"/>
      <c r="N41" s="191"/>
      <c r="P41" s="6">
        <f t="shared" si="4"/>
        <v>1000</v>
      </c>
      <c r="R41" s="40"/>
    </row>
    <row r="42" spans="1:18" x14ac:dyDescent="0.25">
      <c r="A42" s="40"/>
      <c r="C42" s="33"/>
      <c r="D42" s="33"/>
      <c r="F42" s="42"/>
      <c r="G42" s="42"/>
      <c r="J42" s="191"/>
      <c r="N42" s="191"/>
      <c r="P42" s="6">
        <f t="shared" si="4"/>
        <v>0</v>
      </c>
      <c r="R42" s="40"/>
    </row>
    <row r="43" spans="1:18" x14ac:dyDescent="0.25">
      <c r="A43" s="40"/>
      <c r="C43" s="33"/>
      <c r="D43" s="33"/>
      <c r="F43" s="42"/>
      <c r="G43" s="42"/>
      <c r="J43" s="191"/>
      <c r="N43" s="191"/>
      <c r="P43" s="6">
        <f t="shared" si="4"/>
        <v>0</v>
      </c>
      <c r="R43" s="40"/>
    </row>
    <row r="44" spans="1:18" x14ac:dyDescent="0.25">
      <c r="A44" s="40"/>
      <c r="C44" s="33"/>
      <c r="D44" s="33"/>
      <c r="F44" s="42"/>
      <c r="G44" s="42"/>
      <c r="J44" s="191"/>
      <c r="K44" s="179"/>
      <c r="L44" s="117"/>
      <c r="N44" s="191"/>
      <c r="O44" s="99"/>
      <c r="P44" s="6">
        <f t="shared" si="4"/>
        <v>0</v>
      </c>
      <c r="Q44" s="99"/>
      <c r="R44" s="40"/>
    </row>
    <row r="45" spans="1:18" x14ac:dyDescent="0.25">
      <c r="A45" s="40"/>
      <c r="C45" s="33"/>
      <c r="D45" s="33"/>
      <c r="F45" s="42"/>
      <c r="G45" s="42"/>
      <c r="J45" s="191"/>
      <c r="K45" s="179"/>
      <c r="L45" s="117"/>
      <c r="N45" s="191"/>
      <c r="O45" s="99"/>
      <c r="P45" s="6">
        <f t="shared" si="4"/>
        <v>0</v>
      </c>
      <c r="Q45" s="99"/>
      <c r="R45" s="40"/>
    </row>
    <row r="46" spans="1:18" x14ac:dyDescent="0.25">
      <c r="A46" s="40"/>
      <c r="C46" s="33"/>
      <c r="D46" s="33"/>
      <c r="F46" s="42"/>
      <c r="G46" s="42"/>
      <c r="J46" s="191"/>
      <c r="K46" s="179"/>
      <c r="L46" s="117"/>
      <c r="N46" s="191"/>
      <c r="O46" s="99"/>
      <c r="P46" s="6">
        <f t="shared" si="4"/>
        <v>0</v>
      </c>
      <c r="Q46" s="99"/>
      <c r="R46" s="40"/>
    </row>
    <row r="47" spans="1:18" ht="15.75" thickBot="1" x14ac:dyDescent="0.3">
      <c r="A47" s="40"/>
      <c r="B47" s="16" t="s">
        <v>14</v>
      </c>
      <c r="C47" s="16"/>
      <c r="D47" s="16"/>
      <c r="E47" s="17"/>
      <c r="F47" s="18"/>
      <c r="G47" s="18"/>
      <c r="H47" s="19">
        <f>SUM(H39:H46)</f>
        <v>1700</v>
      </c>
      <c r="I47" s="207">
        <f>H47/H59</f>
        <v>3.3729237261316755E-2</v>
      </c>
      <c r="J47" s="193"/>
      <c r="K47" s="181"/>
      <c r="L47" s="19"/>
      <c r="M47" s="52">
        <f>L47/P47</f>
        <v>0</v>
      </c>
      <c r="N47" s="193"/>
      <c r="O47" s="196"/>
      <c r="P47" s="210">
        <f>SUM(P39:P46)</f>
        <v>1700</v>
      </c>
      <c r="Q47" s="52">
        <f>P47/P59</f>
        <v>2.4036171540072881E-2</v>
      </c>
      <c r="R47" s="40"/>
    </row>
    <row r="48" spans="1:18" ht="6" customHeight="1" thickTop="1" x14ac:dyDescent="0.25">
      <c r="A48" s="40"/>
      <c r="R48" s="40"/>
    </row>
    <row r="49" spans="1:18" x14ac:dyDescent="0.25">
      <c r="A49" s="40"/>
      <c r="B49" s="28" t="s">
        <v>17</v>
      </c>
      <c r="C49" s="28"/>
      <c r="D49" s="28"/>
      <c r="E49" s="29"/>
      <c r="F49" s="30"/>
      <c r="G49" s="30"/>
      <c r="H49" s="31"/>
      <c r="I49" s="55"/>
      <c r="J49" s="324" t="s">
        <v>106</v>
      </c>
      <c r="K49" s="325"/>
      <c r="L49" s="325"/>
      <c r="M49" s="325"/>
      <c r="N49" s="329" t="s">
        <v>107</v>
      </c>
      <c r="O49" s="330"/>
      <c r="P49" s="330"/>
      <c r="Q49" s="330"/>
      <c r="R49" s="40"/>
    </row>
    <row r="50" spans="1:18" x14ac:dyDescent="0.25">
      <c r="A50" s="40"/>
      <c r="C50" t="str">
        <f>' BUDGET 2019-2021 AN 1'!C50</f>
        <v>Kilométrage et repas</v>
      </c>
      <c r="H50" s="37"/>
      <c r="J50" s="191"/>
      <c r="K50" s="180"/>
      <c r="L50" s="37"/>
      <c r="N50" s="191"/>
      <c r="O50" s="54"/>
      <c r="P50" s="54"/>
      <c r="Q50" s="54"/>
      <c r="R50" s="40"/>
    </row>
    <row r="51" spans="1:18" x14ac:dyDescent="0.25">
      <c r="A51" s="40"/>
      <c r="D51" t="str">
        <f>' BUDGET 2019-2021 AN 1'!D51</f>
        <v>CISSS</v>
      </c>
      <c r="H51" s="37">
        <f>'HYPOTHÈSE $'!G66-L51</f>
        <v>892.44999999999982</v>
      </c>
      <c r="J51" s="191"/>
      <c r="K51" s="180"/>
      <c r="L51" s="37">
        <f>'HYPOTHÈSE $'!G57+'HYPOTHÈSE $'!G58</f>
        <v>1566.5</v>
      </c>
      <c r="N51" s="191"/>
      <c r="O51" s="54"/>
      <c r="P51" s="180">
        <f t="shared" ref="P51:P52" si="5">H51+L51</f>
        <v>2458.9499999999998</v>
      </c>
      <c r="Q51" s="54"/>
      <c r="R51" s="40"/>
    </row>
    <row r="52" spans="1:18" x14ac:dyDescent="0.25">
      <c r="A52" s="40"/>
      <c r="D52" t="str">
        <f>' BUDGET 2019-2021 AN 1'!D52</f>
        <v>Équijustice EST</v>
      </c>
      <c r="H52" s="37">
        <f>'HYPOTHÈSE $'!H66</f>
        <v>7085.4733333333343</v>
      </c>
      <c r="J52" s="191"/>
      <c r="K52" s="180"/>
      <c r="L52" s="37"/>
      <c r="N52" s="191"/>
      <c r="O52" s="54"/>
      <c r="P52" s="180">
        <f t="shared" si="5"/>
        <v>7085.4733333333343</v>
      </c>
      <c r="Q52" s="54"/>
      <c r="R52" s="40"/>
    </row>
    <row r="53" spans="1:18" x14ac:dyDescent="0.25">
      <c r="A53" s="40"/>
      <c r="D53" t="str">
        <f>' BUDGET 2019-2021 AN 1'!D53</f>
        <v>Équijustice RDL</v>
      </c>
      <c r="H53" s="37">
        <f>'HYPOTHÈSE $'!I66</f>
        <v>4606.7066666666669</v>
      </c>
      <c r="J53" s="191"/>
      <c r="K53" s="180"/>
      <c r="L53" s="37"/>
      <c r="N53" s="191"/>
      <c r="O53" s="54"/>
      <c r="P53" s="180">
        <f>H53+L53</f>
        <v>4606.7066666666669</v>
      </c>
      <c r="Q53" s="54"/>
      <c r="R53" s="40"/>
    </row>
    <row r="54" spans="1:18" x14ac:dyDescent="0.25">
      <c r="A54" s="40"/>
      <c r="J54" s="191"/>
      <c r="N54" s="191"/>
      <c r="R54" s="40"/>
    </row>
    <row r="55" spans="1:18" ht="15.75" thickBot="1" x14ac:dyDescent="0.3">
      <c r="A55" s="40"/>
      <c r="B55" s="16" t="s">
        <v>14</v>
      </c>
      <c r="C55" s="16"/>
      <c r="D55" s="16"/>
      <c r="E55" s="17"/>
      <c r="F55" s="18"/>
      <c r="G55" s="18"/>
      <c r="H55" s="19">
        <f>SUM(H50:H54)</f>
        <v>12584.630000000001</v>
      </c>
      <c r="I55" s="207">
        <f>H55/H59</f>
        <v>0.24968821830346158</v>
      </c>
      <c r="J55" s="193"/>
      <c r="K55" s="181"/>
      <c r="L55" s="19">
        <f>SUM(L50:L54)</f>
        <v>1566.5</v>
      </c>
      <c r="M55" s="52">
        <f>L55/P55</f>
        <v>0.11069787359737349</v>
      </c>
      <c r="N55" s="193"/>
      <c r="O55" s="196"/>
      <c r="P55" s="19">
        <f>SUM(P50:P54)</f>
        <v>14151.130000000001</v>
      </c>
      <c r="Q55" s="52">
        <f>P55/P59</f>
        <v>0.20008175774463033</v>
      </c>
      <c r="R55" s="40"/>
    </row>
    <row r="56" spans="1:18" ht="6" customHeight="1" thickTop="1" x14ac:dyDescent="0.25">
      <c r="A56" s="40"/>
      <c r="B56" s="73"/>
      <c r="C56" s="73"/>
      <c r="D56" s="73"/>
      <c r="E56" s="74"/>
      <c r="F56" s="75"/>
      <c r="G56" s="75"/>
      <c r="H56" s="76"/>
      <c r="I56" s="182"/>
      <c r="J56" s="197"/>
      <c r="K56" s="182"/>
      <c r="L56" s="76"/>
      <c r="M56" s="77"/>
      <c r="N56" s="77"/>
      <c r="O56" s="77"/>
      <c r="P56" s="77"/>
      <c r="Q56" s="77"/>
      <c r="R56" s="40"/>
    </row>
    <row r="57" spans="1:18" x14ac:dyDescent="0.25">
      <c r="A57" s="40"/>
      <c r="B57" s="79" t="s">
        <v>28</v>
      </c>
      <c r="C57" s="79"/>
      <c r="D57" s="79"/>
      <c r="E57" s="80"/>
      <c r="F57" s="81"/>
      <c r="G57" s="81"/>
      <c r="H57" s="82">
        <f>IF(H59&lt;50000,0,H59-'HYPOTHÈSE $'!D4)</f>
        <v>401.37690719999955</v>
      </c>
      <c r="I57" s="183"/>
      <c r="J57" s="198"/>
      <c r="K57" s="183"/>
      <c r="L57" s="82"/>
      <c r="M57" s="83"/>
      <c r="N57" s="83"/>
      <c r="O57" s="83"/>
      <c r="P57" s="83"/>
      <c r="Q57" s="83"/>
      <c r="R57" s="40"/>
    </row>
    <row r="58" spans="1:18" ht="5.25" customHeight="1" x14ac:dyDescent="0.25">
      <c r="A58" s="40"/>
      <c r="R58" s="40"/>
    </row>
    <row r="59" spans="1:18" ht="19.5" thickBot="1" x14ac:dyDescent="0.35">
      <c r="A59" s="40"/>
      <c r="B59" s="331" t="s">
        <v>20</v>
      </c>
      <c r="C59" s="331"/>
      <c r="D59" s="331"/>
      <c r="E59" s="331"/>
      <c r="F59" s="331"/>
      <c r="G59" s="331"/>
      <c r="H59" s="229">
        <f>H55+H47+H36+H28</f>
        <v>50401.3769072</v>
      </c>
      <c r="I59" s="230"/>
      <c r="J59" s="231"/>
      <c r="K59" s="230"/>
      <c r="L59" s="229">
        <f>L55+L47+L36+L28</f>
        <v>20325.360800000002</v>
      </c>
      <c r="M59" s="364">
        <f>L59/H59</f>
        <v>0.40326995108533353</v>
      </c>
      <c r="N59" s="230"/>
      <c r="O59" s="230"/>
      <c r="P59" s="229">
        <f>P55+P47+P36+P28</f>
        <v>70726.737707199994</v>
      </c>
      <c r="Q59" s="232"/>
      <c r="R59" s="40"/>
    </row>
    <row r="60" spans="1:18" ht="7.5" customHeight="1" x14ac:dyDescent="0.25">
      <c r="D60" s="87"/>
      <c r="E60" s="321"/>
      <c r="F60" s="321"/>
      <c r="G60" s="321"/>
    </row>
    <row r="61" spans="1:18" x14ac:dyDescent="0.25">
      <c r="A61" s="245" t="s">
        <v>30</v>
      </c>
      <c r="B61" s="246"/>
      <c r="C61" s="246"/>
      <c r="D61" s="246"/>
      <c r="E61" s="247"/>
      <c r="F61" s="248"/>
      <c r="G61" s="248"/>
      <c r="H61" s="249"/>
      <c r="I61" s="250"/>
      <c r="J61" s="251"/>
      <c r="K61" s="250"/>
      <c r="L61" s="249"/>
      <c r="M61" s="252" t="s">
        <v>31</v>
      </c>
      <c r="N61" s="252"/>
      <c r="O61" s="252"/>
      <c r="P61" s="252"/>
      <c r="Q61" s="252"/>
      <c r="R61" s="245"/>
    </row>
    <row r="62" spans="1:18" x14ac:dyDescent="0.25">
      <c r="A62" s="101"/>
      <c r="H62" s="118"/>
      <c r="I62" s="118"/>
      <c r="J62" s="201"/>
      <c r="K62" s="118"/>
      <c r="L62" s="118"/>
      <c r="M62" s="118"/>
      <c r="N62" s="118"/>
      <c r="O62" s="118"/>
      <c r="P62" s="118"/>
      <c r="Q62" s="118"/>
      <c r="R62" s="101"/>
    </row>
    <row r="63" spans="1:18" x14ac:dyDescent="0.25">
      <c r="A63" s="101"/>
      <c r="H63" s="118"/>
      <c r="I63" s="118"/>
      <c r="J63" s="201"/>
      <c r="K63" s="118"/>
      <c r="L63" s="118"/>
      <c r="M63" s="118"/>
      <c r="N63" s="118"/>
      <c r="O63" s="118"/>
      <c r="P63" s="118"/>
      <c r="Q63" s="118"/>
      <c r="R63" s="101"/>
    </row>
    <row r="64" spans="1:18" x14ac:dyDescent="0.25">
      <c r="A64" s="101"/>
      <c r="H64" s="118"/>
      <c r="I64" s="118"/>
      <c r="J64" s="201"/>
      <c r="K64" s="118"/>
      <c r="L64" s="118"/>
      <c r="M64" s="118"/>
      <c r="N64" s="118"/>
      <c r="O64" s="118"/>
      <c r="P64" s="118"/>
      <c r="Q64" s="118"/>
      <c r="R64" s="101"/>
    </row>
    <row r="65" spans="1:18" x14ac:dyDescent="0.25">
      <c r="A65" s="101"/>
      <c r="B65" s="89"/>
      <c r="H65" s="118"/>
      <c r="I65" s="118"/>
      <c r="J65" s="201"/>
      <c r="K65" s="118"/>
      <c r="L65" s="118"/>
      <c r="M65" s="118"/>
      <c r="N65" s="118"/>
      <c r="O65" s="118"/>
      <c r="P65" s="118"/>
      <c r="Q65" s="118"/>
      <c r="R65" s="101"/>
    </row>
    <row r="66" spans="1:18" x14ac:dyDescent="0.25">
      <c r="A66" s="101"/>
      <c r="H66" s="118"/>
      <c r="I66" s="118"/>
      <c r="J66" s="201"/>
      <c r="K66" s="118"/>
      <c r="L66" s="118"/>
      <c r="M66" s="118"/>
      <c r="N66" s="118"/>
      <c r="O66" s="118"/>
      <c r="P66" s="118"/>
      <c r="Q66" s="118"/>
      <c r="R66" s="101"/>
    </row>
    <row r="67" spans="1:18" x14ac:dyDescent="0.25">
      <c r="A67" s="101"/>
      <c r="H67" s="118"/>
      <c r="I67" s="118"/>
      <c r="J67" s="201"/>
      <c r="K67" s="118"/>
      <c r="L67" s="118"/>
      <c r="M67" s="118"/>
      <c r="N67" s="118"/>
      <c r="O67" s="118"/>
      <c r="P67" s="118"/>
      <c r="Q67" s="118"/>
      <c r="R67" s="101"/>
    </row>
    <row r="68" spans="1:18" x14ac:dyDescent="0.25">
      <c r="A68" s="101"/>
      <c r="H68" s="118"/>
      <c r="I68" s="118"/>
      <c r="J68" s="201"/>
      <c r="K68" s="118"/>
      <c r="L68" s="118"/>
      <c r="M68" s="118"/>
      <c r="N68" s="118"/>
      <c r="O68" s="118"/>
      <c r="P68" s="118"/>
      <c r="Q68" s="118"/>
      <c r="R68" s="101"/>
    </row>
    <row r="69" spans="1:18" x14ac:dyDescent="0.25">
      <c r="A69" s="101"/>
      <c r="H69" s="118"/>
      <c r="I69" s="118"/>
      <c r="J69" s="201"/>
      <c r="K69" s="118"/>
      <c r="L69" s="118"/>
      <c r="M69" s="118"/>
      <c r="N69" s="118"/>
      <c r="O69" s="118"/>
      <c r="P69" s="118"/>
      <c r="Q69" s="118"/>
      <c r="R69" s="101"/>
    </row>
  </sheetData>
  <mergeCells count="14">
    <mergeCell ref="B59:G59"/>
    <mergeCell ref="E60:G60"/>
    <mergeCell ref="J30:M30"/>
    <mergeCell ref="J38:M38"/>
    <mergeCell ref="J49:M49"/>
    <mergeCell ref="N30:Q30"/>
    <mergeCell ref="N38:Q38"/>
    <mergeCell ref="N49:Q49"/>
    <mergeCell ref="A1:R1"/>
    <mergeCell ref="A2:R2"/>
    <mergeCell ref="B4:Q4"/>
    <mergeCell ref="B5:D5"/>
    <mergeCell ref="J6:M6"/>
    <mergeCell ref="N6:Q6"/>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69"/>
  <sheetViews>
    <sheetView topLeftCell="A30" workbookViewId="0">
      <selection activeCell="M64" sqref="M64"/>
    </sheetView>
  </sheetViews>
  <sheetFormatPr baseColWidth="10" defaultRowHeight="15" x14ac:dyDescent="0.25"/>
  <cols>
    <col min="1" max="3" width="1.28515625" customWidth="1"/>
    <col min="4" max="4" width="30.7109375" customWidth="1"/>
    <col min="5" max="5" width="4.28515625" style="11" customWidth="1"/>
    <col min="6" max="6" width="5.5703125" style="142" customWidth="1"/>
    <col min="7" max="7" width="11" style="142" customWidth="1"/>
    <col min="8" max="8" width="16.5703125" style="1" customWidth="1"/>
    <col min="9" max="9" width="4.7109375" style="6" customWidth="1"/>
    <col min="10" max="10" width="4.7109375" style="36" customWidth="1"/>
    <col min="11" max="11" width="11.140625" style="6" customWidth="1"/>
    <col min="12" max="12" width="16.7109375" style="1" customWidth="1"/>
    <col min="13" max="13" width="5.42578125" style="6" customWidth="1"/>
    <col min="14" max="14" width="4.28515625" style="6" customWidth="1"/>
    <col min="15" max="15" width="11.140625" style="6" customWidth="1"/>
    <col min="16" max="16" width="16.85546875" style="6" customWidth="1"/>
    <col min="17" max="17" width="5.140625" style="6" customWidth="1"/>
    <col min="18" max="18" width="1.28515625" customWidth="1"/>
  </cols>
  <sheetData>
    <row r="1" spans="1:18" ht="56.25" customHeight="1" x14ac:dyDescent="0.25">
      <c r="A1" s="294" t="str">
        <f>NOTES!A1</f>
        <v>PROJET NOVATEUR (APPEL DE PROPOSITIONS 2017): 
CISSS/BSL UNE VOIE PARTAGÉE / ADOLESCENTS - VICTIMES</v>
      </c>
      <c r="B1" s="294"/>
      <c r="C1" s="294"/>
      <c r="D1" s="294"/>
      <c r="E1" s="294"/>
      <c r="F1" s="294"/>
      <c r="G1" s="294"/>
      <c r="H1" s="294"/>
      <c r="I1" s="294"/>
      <c r="J1" s="294"/>
      <c r="K1" s="294"/>
      <c r="L1" s="294"/>
      <c r="M1" s="294"/>
      <c r="N1" s="294"/>
      <c r="O1" s="294"/>
      <c r="P1" s="294"/>
      <c r="Q1" s="294"/>
      <c r="R1" s="294"/>
    </row>
    <row r="2" spans="1:18" ht="26.25" x14ac:dyDescent="0.4">
      <c r="A2" s="322" t="s">
        <v>127</v>
      </c>
      <c r="B2" s="322"/>
      <c r="C2" s="322"/>
      <c r="D2" s="322"/>
      <c r="E2" s="322"/>
      <c r="F2" s="322"/>
      <c r="G2" s="322"/>
      <c r="H2" s="322"/>
      <c r="I2" s="322"/>
      <c r="J2" s="322"/>
      <c r="K2" s="322"/>
      <c r="L2" s="322"/>
      <c r="M2" s="322"/>
      <c r="N2" s="322"/>
      <c r="O2" s="322"/>
      <c r="P2" s="322"/>
      <c r="Q2" s="322"/>
      <c r="R2" s="322"/>
    </row>
    <row r="3" spans="1:18" ht="2.25" customHeight="1" x14ac:dyDescent="0.25"/>
    <row r="4" spans="1:18" s="10" customFormat="1" ht="21" x14ac:dyDescent="0.35">
      <c r="A4" s="38"/>
      <c r="B4" s="313" t="s">
        <v>19</v>
      </c>
      <c r="C4" s="313"/>
      <c r="D4" s="313"/>
      <c r="E4" s="313"/>
      <c r="F4" s="313"/>
      <c r="G4" s="313"/>
      <c r="H4" s="313"/>
      <c r="I4" s="313"/>
      <c r="J4" s="313"/>
      <c r="K4" s="313"/>
      <c r="L4" s="313"/>
      <c r="M4" s="313"/>
      <c r="N4" s="313"/>
      <c r="O4" s="313"/>
      <c r="P4" s="313"/>
      <c r="Q4" s="313"/>
      <c r="R4" s="38"/>
    </row>
    <row r="5" spans="1:18" s="15" customFormat="1" ht="16.5" customHeight="1" x14ac:dyDescent="0.25">
      <c r="A5" s="39"/>
      <c r="B5" s="328" t="s">
        <v>8</v>
      </c>
      <c r="C5" s="328"/>
      <c r="D5" s="328"/>
      <c r="E5" s="12" t="s">
        <v>9</v>
      </c>
      <c r="F5" s="206" t="s">
        <v>10</v>
      </c>
      <c r="G5" s="206" t="s">
        <v>11</v>
      </c>
      <c r="H5" s="14" t="s">
        <v>1</v>
      </c>
      <c r="I5" s="14" t="s">
        <v>33</v>
      </c>
      <c r="J5" s="189" t="s">
        <v>10</v>
      </c>
      <c r="K5" s="182" t="s">
        <v>11</v>
      </c>
      <c r="L5" s="75" t="s">
        <v>1</v>
      </c>
      <c r="M5" s="182" t="s">
        <v>33</v>
      </c>
      <c r="N5" s="186" t="s">
        <v>10</v>
      </c>
      <c r="O5" s="182" t="s">
        <v>11</v>
      </c>
      <c r="P5" s="182" t="s">
        <v>1</v>
      </c>
      <c r="Q5" s="182" t="s">
        <v>33</v>
      </c>
      <c r="R5" s="39"/>
    </row>
    <row r="6" spans="1:18" ht="16.5" customHeight="1" x14ac:dyDescent="0.25">
      <c r="A6" s="40"/>
      <c r="B6" s="20" t="s">
        <v>12</v>
      </c>
      <c r="C6" s="21"/>
      <c r="D6" s="21"/>
      <c r="E6" s="22"/>
      <c r="F6" s="23"/>
      <c r="G6" s="23"/>
      <c r="H6" s="24"/>
      <c r="I6" s="176"/>
      <c r="J6" s="324" t="s">
        <v>106</v>
      </c>
      <c r="K6" s="325"/>
      <c r="L6" s="325"/>
      <c r="M6" s="325"/>
      <c r="N6" s="332" t="s">
        <v>107</v>
      </c>
      <c r="O6" s="333"/>
      <c r="P6" s="333"/>
      <c r="Q6" s="333"/>
      <c r="R6" s="40"/>
    </row>
    <row r="7" spans="1:18" ht="16.5" customHeight="1" x14ac:dyDescent="0.25">
      <c r="A7" s="40"/>
      <c r="C7" s="43" t="s">
        <v>0</v>
      </c>
      <c r="D7" s="43"/>
      <c r="E7" s="44"/>
      <c r="F7" s="45">
        <v>1</v>
      </c>
      <c r="G7" s="211" t="str">
        <f>' BUDGET 2019-2021 AN 1'!G7</f>
        <v>Déléguée J</v>
      </c>
      <c r="I7" s="143">
        <f>(H8+H9)/H28</f>
        <v>0.19682480670280728</v>
      </c>
      <c r="J7" s="190"/>
      <c r="K7" s="204" t="str">
        <f>G7</f>
        <v>Déléguée J</v>
      </c>
      <c r="L7" s="65"/>
      <c r="M7" s="108">
        <f>SUM(L8:L9)/SUM(P8:P9)</f>
        <v>0</v>
      </c>
      <c r="N7" s="202"/>
      <c r="O7" s="204" t="str">
        <f>K7</f>
        <v>Déléguée J</v>
      </c>
      <c r="P7" s="108"/>
      <c r="Q7" s="143">
        <f>(P8+P9)/P28</f>
        <v>0.15903585107453325</v>
      </c>
      <c r="R7" s="40"/>
    </row>
    <row r="8" spans="1:18" ht="16.5" customHeight="1" x14ac:dyDescent="0.25">
      <c r="A8" s="40"/>
      <c r="D8" s="2" t="s">
        <v>119</v>
      </c>
      <c r="E8" s="13"/>
      <c r="F8" s="5">
        <v>22</v>
      </c>
      <c r="G8" s="5" t="s">
        <v>2</v>
      </c>
      <c r="H8" s="1">
        <f>F8*'HYPOTHÈSE $'!R7</f>
        <v>7306.1049600000006</v>
      </c>
      <c r="J8" s="191"/>
      <c r="K8" s="187" t="str">
        <f t="shared" ref="K8:K25" si="0">G8</f>
        <v>Jour</v>
      </c>
      <c r="L8" s="65"/>
      <c r="M8" s="188"/>
      <c r="N8" s="191">
        <f>J8+F8</f>
        <v>22</v>
      </c>
      <c r="O8" s="205" t="str">
        <f t="shared" ref="O8:O25" si="1">K8</f>
        <v>Jour</v>
      </c>
      <c r="P8" s="188">
        <f>H8+L8</f>
        <v>7306.1049600000006</v>
      </c>
      <c r="Q8" s="188"/>
      <c r="R8" s="40"/>
    </row>
    <row r="9" spans="1:18" ht="16.5" customHeight="1" x14ac:dyDescent="0.25">
      <c r="A9" s="40"/>
      <c r="D9" s="2" t="s">
        <v>129</v>
      </c>
      <c r="E9" s="13"/>
      <c r="F9" s="5">
        <v>5</v>
      </c>
      <c r="G9" s="5" t="s">
        <v>2</v>
      </c>
      <c r="H9" s="1">
        <f>F9*'HYPOTHÈSE $'!R7</f>
        <v>1660.4784</v>
      </c>
      <c r="J9" s="191"/>
      <c r="K9" s="187" t="str">
        <f t="shared" si="0"/>
        <v>Jour</v>
      </c>
      <c r="L9" s="65"/>
      <c r="M9" s="188"/>
      <c r="N9" s="191">
        <f t="shared" ref="N9:N25" si="2">J9+F9</f>
        <v>5</v>
      </c>
      <c r="O9" s="205" t="str">
        <f t="shared" si="1"/>
        <v>Jour</v>
      </c>
      <c r="P9" s="188">
        <f t="shared" ref="P9:P25" si="3">H9+L9</f>
        <v>1660.4784</v>
      </c>
      <c r="Q9" s="188"/>
      <c r="R9" s="40"/>
    </row>
    <row r="10" spans="1:18" ht="17.25" customHeight="1" x14ac:dyDescent="0.25">
      <c r="A10" s="40"/>
      <c r="C10" s="43" t="s">
        <v>189</v>
      </c>
      <c r="D10" s="43"/>
      <c r="E10" s="44"/>
      <c r="F10" s="46"/>
      <c r="G10" s="46"/>
      <c r="I10" s="143">
        <f>SUM(H11:H17)/H28</f>
        <v>0.15400881696779928</v>
      </c>
      <c r="J10" s="190"/>
      <c r="K10" s="187"/>
      <c r="L10" s="65"/>
      <c r="M10" s="108">
        <f>SUM(L11:L17)/SUM(P11:P17)</f>
        <v>0.44770073560670859</v>
      </c>
      <c r="N10" s="191"/>
      <c r="O10" s="205"/>
      <c r="P10" s="188"/>
      <c r="Q10" s="143">
        <f>SUM(P11:P17)/P28</f>
        <v>0.22531303817584966</v>
      </c>
      <c r="R10" s="40"/>
    </row>
    <row r="11" spans="1:18" x14ac:dyDescent="0.25">
      <c r="A11" s="40"/>
      <c r="B11" s="90"/>
      <c r="D11" t="s">
        <v>86</v>
      </c>
      <c r="F11" s="147">
        <f>ACTIVITÉS!P44</f>
        <v>45.486000000000004</v>
      </c>
      <c r="G11" s="5" t="s">
        <v>5</v>
      </c>
      <c r="H11" s="144">
        <f>F11*'HYPOTHÈSE $'!U8</f>
        <v>2480.5451211105601</v>
      </c>
      <c r="I11" s="177"/>
      <c r="J11" s="192"/>
      <c r="K11" s="187" t="str">
        <f t="shared" si="0"/>
        <v>Heure</v>
      </c>
      <c r="L11" s="145"/>
      <c r="M11" s="146"/>
      <c r="N11" s="191">
        <f t="shared" si="2"/>
        <v>45.486000000000004</v>
      </c>
      <c r="O11" s="205" t="str">
        <f t="shared" si="1"/>
        <v>Heure</v>
      </c>
      <c r="P11" s="188">
        <f t="shared" si="3"/>
        <v>2480.5451211105601</v>
      </c>
      <c r="Q11" s="146"/>
      <c r="R11" s="40"/>
    </row>
    <row r="12" spans="1:18" x14ac:dyDescent="0.25">
      <c r="A12" s="40"/>
      <c r="D12" t="s">
        <v>87</v>
      </c>
      <c r="F12" s="148">
        <f>ACTIVITÉS!P43</f>
        <v>32.5</v>
      </c>
      <c r="G12" s="5" t="s">
        <v>5</v>
      </c>
      <c r="H12" s="144">
        <f>F12*'HYPOTHÈSE $'!U9</f>
        <v>1115.8290000000002</v>
      </c>
      <c r="I12" s="177"/>
      <c r="J12" s="192"/>
      <c r="K12" s="187" t="str">
        <f t="shared" si="0"/>
        <v>Heure</v>
      </c>
      <c r="L12" s="145"/>
      <c r="M12" s="146"/>
      <c r="N12" s="191">
        <f t="shared" si="2"/>
        <v>32.5</v>
      </c>
      <c r="O12" s="205" t="str">
        <f t="shared" si="1"/>
        <v>Heure</v>
      </c>
      <c r="P12" s="188">
        <f t="shared" si="3"/>
        <v>1115.8290000000002</v>
      </c>
      <c r="Q12" s="146"/>
      <c r="R12" s="40"/>
    </row>
    <row r="13" spans="1:18" x14ac:dyDescent="0.25">
      <c r="A13" s="40"/>
      <c r="D13" t="s">
        <v>88</v>
      </c>
      <c r="F13" s="148">
        <f>ACTIVITÉS!P46</f>
        <v>45.486000000000004</v>
      </c>
      <c r="G13" s="5" t="s">
        <v>5</v>
      </c>
      <c r="H13" s="144">
        <f>F13*'HYPOTHÈSE $'!U10</f>
        <v>1390.3683786720001</v>
      </c>
      <c r="I13" s="177"/>
      <c r="J13" s="192"/>
      <c r="K13" s="187" t="str">
        <f t="shared" si="0"/>
        <v>Heure</v>
      </c>
      <c r="L13" s="145"/>
      <c r="M13" s="146"/>
      <c r="N13" s="191">
        <f t="shared" si="2"/>
        <v>45.486000000000004</v>
      </c>
      <c r="O13" s="205" t="str">
        <f t="shared" si="1"/>
        <v>Heure</v>
      </c>
      <c r="P13" s="188">
        <f t="shared" si="3"/>
        <v>1390.3683786720001</v>
      </c>
      <c r="Q13" s="146"/>
      <c r="R13" s="40"/>
    </row>
    <row r="14" spans="1:18" x14ac:dyDescent="0.25">
      <c r="A14" s="40"/>
      <c r="D14" t="s">
        <v>89</v>
      </c>
      <c r="F14" s="148">
        <f>ACTIVITÉS!P45</f>
        <v>32.5</v>
      </c>
      <c r="G14" s="5" t="s">
        <v>5</v>
      </c>
      <c r="H14" s="1">
        <f>F14*'HYPOTHÈSE $'!U9</f>
        <v>1115.8290000000002</v>
      </c>
      <c r="J14" s="191"/>
      <c r="K14" s="187" t="str">
        <f t="shared" si="0"/>
        <v>Heure</v>
      </c>
      <c r="L14" s="65"/>
      <c r="M14" s="100"/>
      <c r="N14" s="191">
        <f t="shared" si="2"/>
        <v>32.5</v>
      </c>
      <c r="O14" s="205" t="str">
        <f t="shared" si="1"/>
        <v>Heure</v>
      </c>
      <c r="P14" s="188">
        <f t="shared" si="3"/>
        <v>1115.8290000000002</v>
      </c>
      <c r="Q14" s="100"/>
      <c r="R14" s="40"/>
    </row>
    <row r="15" spans="1:18" x14ac:dyDescent="0.25">
      <c r="A15" s="40"/>
      <c r="D15" t="s">
        <v>90</v>
      </c>
      <c r="F15" s="149">
        <f>ACTIVITÉS!P47-ACTIVITÉS!P47</f>
        <v>0</v>
      </c>
      <c r="G15" s="5" t="s">
        <v>5</v>
      </c>
      <c r="H15" s="1">
        <f>F15*'HYPOTHÈSE $'!U11</f>
        <v>0</v>
      </c>
      <c r="J15" s="191">
        <f>ACTIVITÉS!P47</f>
        <v>22</v>
      </c>
      <c r="K15" s="187" t="str">
        <f t="shared" si="0"/>
        <v>Heure</v>
      </c>
      <c r="L15" s="65">
        <f>J15*'HYPOTHÈSE $'!U11</f>
        <v>915.55200000000002</v>
      </c>
      <c r="M15" s="188"/>
      <c r="N15" s="191">
        <f t="shared" si="2"/>
        <v>22</v>
      </c>
      <c r="O15" s="205" t="str">
        <f t="shared" si="1"/>
        <v>Heure</v>
      </c>
      <c r="P15" s="188">
        <f t="shared" si="3"/>
        <v>915.55200000000002</v>
      </c>
      <c r="Q15" s="188"/>
      <c r="R15" s="40"/>
    </row>
    <row r="16" spans="1:18" x14ac:dyDescent="0.25">
      <c r="A16" s="40"/>
      <c r="D16" t="s">
        <v>91</v>
      </c>
      <c r="F16" s="149">
        <f>ACTIVITÉS!P49-ACTIVITÉS!G49</f>
        <v>14</v>
      </c>
      <c r="G16" s="5" t="s">
        <v>5</v>
      </c>
      <c r="H16" s="1">
        <f>F16*'HYPOTHÈSE $'!U8</f>
        <v>763.47956943999998</v>
      </c>
      <c r="J16" s="191">
        <f>ACTIVITÉS!P49</f>
        <v>87.5</v>
      </c>
      <c r="K16" s="187" t="str">
        <f t="shared" si="0"/>
        <v>Heure</v>
      </c>
      <c r="L16" s="65">
        <f>J16*'HYPOTHÈSE $'!U8</f>
        <v>4771.7473090000003</v>
      </c>
      <c r="M16" s="188"/>
      <c r="N16" s="191">
        <f t="shared" si="2"/>
        <v>101.5</v>
      </c>
      <c r="O16" s="205" t="str">
        <f t="shared" si="1"/>
        <v>Heure</v>
      </c>
      <c r="P16" s="188">
        <f t="shared" si="3"/>
        <v>5535.2268784400003</v>
      </c>
      <c r="Q16" s="188"/>
      <c r="R16" s="40"/>
    </row>
    <row r="17" spans="1:18" x14ac:dyDescent="0.25">
      <c r="A17" s="40"/>
      <c r="D17" t="s">
        <v>93</v>
      </c>
      <c r="F17" s="149">
        <f>ACTIVITÉS!P51</f>
        <v>3</v>
      </c>
      <c r="G17" s="142" t="s">
        <v>94</v>
      </c>
      <c r="H17" s="1">
        <f>F17*'HYPOTHÈSE $'!R13</f>
        <v>150</v>
      </c>
      <c r="J17" s="191"/>
      <c r="K17" s="187" t="str">
        <f t="shared" si="0"/>
        <v>Présence</v>
      </c>
      <c r="L17" s="65"/>
      <c r="M17" s="188"/>
      <c r="N17" s="191">
        <f t="shared" si="2"/>
        <v>3</v>
      </c>
      <c r="O17" s="205" t="str">
        <f t="shared" si="1"/>
        <v>Présence</v>
      </c>
      <c r="P17" s="188">
        <f t="shared" si="3"/>
        <v>150</v>
      </c>
      <c r="Q17" s="188"/>
      <c r="R17" s="40"/>
    </row>
    <row r="18" spans="1:18" x14ac:dyDescent="0.25">
      <c r="A18" s="40"/>
      <c r="C18" s="43" t="s">
        <v>121</v>
      </c>
      <c r="E18" s="57"/>
      <c r="F18" s="150"/>
      <c r="I18" s="143">
        <f>SUM(H19:H25)/$H$28</f>
        <v>0.64916637632939334</v>
      </c>
      <c r="J18" s="190"/>
      <c r="K18" s="187"/>
      <c r="L18" s="65"/>
      <c r="M18" s="108">
        <f>SUM(L19:L25)/SUM(P19:P25)</f>
        <v>0.14800596583441344</v>
      </c>
      <c r="N18" s="191"/>
      <c r="O18" s="205"/>
      <c r="P18" s="188"/>
      <c r="Q18" s="143">
        <f>SUM(P19:P25)/$P$28</f>
        <v>0.61565111074961698</v>
      </c>
      <c r="R18" s="40"/>
    </row>
    <row r="19" spans="1:18" x14ac:dyDescent="0.25">
      <c r="A19" s="40"/>
      <c r="D19" t="s">
        <v>86</v>
      </c>
      <c r="F19" s="142">
        <f>ACTIVITÉS!AJ44-J19</f>
        <v>393</v>
      </c>
      <c r="G19" s="142" t="s">
        <v>5</v>
      </c>
      <c r="H19" s="212">
        <f>F19*'HYPOTHÈSE $'!U10</f>
        <v>12012.812136</v>
      </c>
      <c r="I19" s="213"/>
      <c r="J19" s="214">
        <f>ACTIVITÉS!AG44</f>
        <v>42</v>
      </c>
      <c r="K19" s="215" t="str">
        <f t="shared" si="0"/>
        <v>Heure</v>
      </c>
      <c r="L19" s="216">
        <f>J19*'HYPOTHÈSE $'!U10</f>
        <v>1283.8119839999999</v>
      </c>
      <c r="M19" s="188"/>
      <c r="N19" s="191">
        <f t="shared" si="2"/>
        <v>435</v>
      </c>
      <c r="O19" s="205" t="str">
        <f t="shared" si="1"/>
        <v>Heure</v>
      </c>
      <c r="P19" s="188">
        <f t="shared" si="3"/>
        <v>13296.62412</v>
      </c>
      <c r="Q19" s="188"/>
      <c r="R19" s="40"/>
    </row>
    <row r="20" spans="1:18" x14ac:dyDescent="0.25">
      <c r="A20" s="40"/>
      <c r="D20" t="s">
        <v>87</v>
      </c>
      <c r="F20" s="142">
        <f>ACTIVITÉS!AJ43</f>
        <v>0</v>
      </c>
      <c r="G20" s="142" t="s">
        <v>5</v>
      </c>
      <c r="H20" s="1">
        <f>F20*'HYPOTHÈSE $'!U9</f>
        <v>0</v>
      </c>
      <c r="J20" s="191"/>
      <c r="K20" s="187" t="str">
        <f t="shared" si="0"/>
        <v>Heure</v>
      </c>
      <c r="L20" s="65"/>
      <c r="M20" s="188"/>
      <c r="N20" s="191">
        <f t="shared" si="2"/>
        <v>0</v>
      </c>
      <c r="O20" s="205" t="str">
        <f t="shared" si="1"/>
        <v>Heure</v>
      </c>
      <c r="P20" s="188">
        <f t="shared" si="3"/>
        <v>0</v>
      </c>
      <c r="Q20" s="188"/>
      <c r="R20" s="40"/>
    </row>
    <row r="21" spans="1:18" x14ac:dyDescent="0.25">
      <c r="A21" s="40"/>
      <c r="D21" t="s">
        <v>88</v>
      </c>
      <c r="F21" s="142">
        <f>ACTIVITÉS!AJ46-J21</f>
        <v>339</v>
      </c>
      <c r="G21" s="142" t="s">
        <v>5</v>
      </c>
      <c r="H21" s="1">
        <f>F21*'HYPOTHÈSE $'!U10</f>
        <v>10362.196728000001</v>
      </c>
      <c r="J21" s="191">
        <f>ACTIVITÉS!AI46</f>
        <v>60</v>
      </c>
      <c r="K21" s="187" t="str">
        <f t="shared" si="0"/>
        <v>Heure</v>
      </c>
      <c r="L21" s="65">
        <f>J21*'HYPOTHÈSE $'!U10</f>
        <v>1834.01712</v>
      </c>
      <c r="M21" s="188"/>
      <c r="N21" s="191">
        <f>J21+F21</f>
        <v>399</v>
      </c>
      <c r="O21" s="205" t="str">
        <f t="shared" si="1"/>
        <v>Heure</v>
      </c>
      <c r="P21" s="188">
        <f t="shared" si="3"/>
        <v>12196.213848000001</v>
      </c>
      <c r="Q21" s="188"/>
      <c r="R21" s="40"/>
    </row>
    <row r="22" spans="1:18" x14ac:dyDescent="0.25">
      <c r="A22" s="40"/>
      <c r="D22" t="s">
        <v>89</v>
      </c>
      <c r="F22" s="142">
        <f>ACTIVITÉS!AJ45-J22</f>
        <v>0</v>
      </c>
      <c r="G22" s="142" t="s">
        <v>5</v>
      </c>
      <c r="H22" s="1">
        <f>F22*'HYPOTHÈSE $'!U9</f>
        <v>0</v>
      </c>
      <c r="J22" s="191">
        <f>ACTIVITÉS!AI45</f>
        <v>60</v>
      </c>
      <c r="K22" s="187" t="str">
        <f t="shared" si="0"/>
        <v>Heure</v>
      </c>
      <c r="L22" s="65">
        <f>J22*'HYPOTHÈSE $'!O9</f>
        <v>2019.6000000000001</v>
      </c>
      <c r="M22" s="188"/>
      <c r="N22" s="191">
        <f t="shared" si="2"/>
        <v>60</v>
      </c>
      <c r="O22" s="205" t="str">
        <f t="shared" si="1"/>
        <v>Heure</v>
      </c>
      <c r="P22" s="188">
        <f t="shared" si="3"/>
        <v>2019.6000000000001</v>
      </c>
      <c r="Q22" s="188"/>
      <c r="R22" s="40"/>
    </row>
    <row r="23" spans="1:18" x14ac:dyDescent="0.25">
      <c r="A23" s="40"/>
      <c r="D23" t="s">
        <v>90</v>
      </c>
      <c r="F23" s="142">
        <f>ACTIVITÉS!AJ47</f>
        <v>0</v>
      </c>
      <c r="G23" s="142" t="s">
        <v>5</v>
      </c>
      <c r="H23" s="1">
        <f>F23*'HYPOTHÈSE $'!U11</f>
        <v>0</v>
      </c>
      <c r="J23" s="191"/>
      <c r="K23" s="187" t="str">
        <f t="shared" si="0"/>
        <v>Heure</v>
      </c>
      <c r="L23" s="65">
        <f>J23*'HYPOTHÈSE $'!O11</f>
        <v>0</v>
      </c>
      <c r="M23" s="188"/>
      <c r="N23" s="191">
        <f t="shared" si="2"/>
        <v>0</v>
      </c>
      <c r="O23" s="205" t="str">
        <f t="shared" si="1"/>
        <v>Heure</v>
      </c>
      <c r="P23" s="188">
        <f t="shared" si="3"/>
        <v>0</v>
      </c>
      <c r="Q23" s="188"/>
      <c r="R23" s="40"/>
    </row>
    <row r="24" spans="1:18" x14ac:dyDescent="0.25">
      <c r="A24" s="40"/>
      <c r="D24" t="s">
        <v>91</v>
      </c>
      <c r="F24" s="142">
        <f>ACTIVITÉS!AJ49</f>
        <v>132</v>
      </c>
      <c r="G24" s="142" t="s">
        <v>5</v>
      </c>
      <c r="H24" s="1">
        <f>F24*'HYPOTHÈSE $'!U8</f>
        <v>7198.5216547199998</v>
      </c>
      <c r="J24" s="191"/>
      <c r="K24" s="187" t="str">
        <f t="shared" si="0"/>
        <v>Heure</v>
      </c>
      <c r="L24" s="65">
        <f>J24*'HYPOTHÈSE $'!O8</f>
        <v>0</v>
      </c>
      <c r="M24" s="188"/>
      <c r="N24" s="191">
        <f t="shared" si="2"/>
        <v>132</v>
      </c>
      <c r="O24" s="205" t="str">
        <f t="shared" si="1"/>
        <v>Heure</v>
      </c>
      <c r="P24" s="188">
        <f t="shared" si="3"/>
        <v>7198.5216547199998</v>
      </c>
      <c r="Q24" s="188"/>
      <c r="R24" s="40"/>
    </row>
    <row r="25" spans="1:18" x14ac:dyDescent="0.25">
      <c r="A25" s="40"/>
      <c r="D25" t="s">
        <v>93</v>
      </c>
      <c r="F25" s="217">
        <v>0</v>
      </c>
      <c r="G25" s="142" t="s">
        <v>94</v>
      </c>
      <c r="H25" s="1">
        <f>F25*'HYPOTHÈSE $'!R13</f>
        <v>0</v>
      </c>
      <c r="J25" s="191"/>
      <c r="K25" s="187" t="str">
        <f t="shared" si="0"/>
        <v>Présence</v>
      </c>
      <c r="L25" s="65"/>
      <c r="M25" s="188"/>
      <c r="N25" s="191">
        <f t="shared" si="2"/>
        <v>0</v>
      </c>
      <c r="O25" s="205" t="str">
        <f t="shared" si="1"/>
        <v>Présence</v>
      </c>
      <c r="P25" s="188">
        <f t="shared" si="3"/>
        <v>0</v>
      </c>
      <c r="Q25" s="188"/>
      <c r="R25" s="40"/>
    </row>
    <row r="26" spans="1:18" x14ac:dyDescent="0.25">
      <c r="A26" s="40"/>
      <c r="C26" s="43"/>
      <c r="D26" s="43"/>
      <c r="E26" s="41"/>
      <c r="F26" s="46"/>
      <c r="G26" s="46"/>
      <c r="J26" s="191"/>
      <c r="K26" s="187"/>
      <c r="L26" s="65"/>
      <c r="M26" s="108"/>
      <c r="N26" s="202"/>
      <c r="O26" s="205"/>
      <c r="P26" s="108"/>
      <c r="Q26" s="108"/>
      <c r="R26" s="40"/>
    </row>
    <row r="27" spans="1:18" x14ac:dyDescent="0.25">
      <c r="A27" s="40"/>
      <c r="F27" s="98"/>
      <c r="H27" s="145"/>
      <c r="I27" s="178"/>
      <c r="J27" s="192"/>
      <c r="K27" s="187"/>
      <c r="L27" s="145"/>
      <c r="M27" s="146"/>
      <c r="N27" s="203"/>
      <c r="O27" s="205"/>
      <c r="P27" s="146"/>
      <c r="Q27" s="146"/>
      <c r="R27" s="40"/>
    </row>
    <row r="28" spans="1:18" ht="15.75" thickBot="1" x14ac:dyDescent="0.3">
      <c r="A28" s="40"/>
      <c r="B28" s="16" t="s">
        <v>14</v>
      </c>
      <c r="C28" s="16"/>
      <c r="D28" s="16"/>
      <c r="E28" s="17"/>
      <c r="F28" s="18"/>
      <c r="G28" s="18"/>
      <c r="H28" s="19">
        <f>SUM(H8:H27)</f>
        <v>45556.164947942569</v>
      </c>
      <c r="I28" s="207">
        <f>H28/$H$59</f>
        <v>0.77651060498124591</v>
      </c>
      <c r="J28" s="193"/>
      <c r="K28" s="52"/>
      <c r="L28" s="19">
        <f>SUM(L8:L27)</f>
        <v>10824.728413000001</v>
      </c>
      <c r="M28" s="52">
        <f>L28/P28</f>
        <v>0.19199285019663684</v>
      </c>
      <c r="N28" s="193"/>
      <c r="O28" s="52"/>
      <c r="P28" s="19">
        <f>SUM(P8:P27)</f>
        <v>56380.893360942559</v>
      </c>
      <c r="Q28" s="207">
        <f>P28/P59</f>
        <v>0.79343749314646772</v>
      </c>
      <c r="R28" s="40"/>
    </row>
    <row r="29" spans="1:18" ht="5.25" customHeight="1" thickTop="1" x14ac:dyDescent="0.25">
      <c r="A29" s="40"/>
      <c r="R29" s="40"/>
    </row>
    <row r="30" spans="1:18" x14ac:dyDescent="0.25">
      <c r="A30" s="40"/>
      <c r="B30" s="20" t="s">
        <v>124</v>
      </c>
      <c r="C30" s="20"/>
      <c r="D30" s="20"/>
      <c r="E30" s="25"/>
      <c r="F30" s="26"/>
      <c r="G30" s="26"/>
      <c r="H30" s="27"/>
      <c r="I30" s="53"/>
      <c r="J30" s="324" t="s">
        <v>106</v>
      </c>
      <c r="K30" s="325"/>
      <c r="L30" s="325"/>
      <c r="M30" s="325"/>
      <c r="N30" s="332" t="s">
        <v>107</v>
      </c>
      <c r="O30" s="333"/>
      <c r="P30" s="333"/>
      <c r="Q30" s="333"/>
      <c r="R30" s="40"/>
    </row>
    <row r="31" spans="1:18" x14ac:dyDescent="0.25">
      <c r="A31" s="40"/>
      <c r="D31" t="str">
        <f>'HYPOTHÈSE $'!B19</f>
        <v>Papeterie</v>
      </c>
      <c r="H31" s="37"/>
      <c r="J31" s="191"/>
      <c r="N31" s="191"/>
      <c r="P31" s="6">
        <f>H31+L31</f>
        <v>0</v>
      </c>
      <c r="R31" s="40"/>
    </row>
    <row r="32" spans="1:18" x14ac:dyDescent="0.25">
      <c r="A32" s="40"/>
      <c r="F32" s="98"/>
      <c r="H32" s="37"/>
      <c r="J32" s="191"/>
      <c r="K32" s="179"/>
      <c r="L32" s="117"/>
      <c r="N32" s="191"/>
      <c r="O32" s="99"/>
      <c r="P32" s="99"/>
      <c r="Q32" s="99"/>
      <c r="R32" s="40"/>
    </row>
    <row r="33" spans="1:18" x14ac:dyDescent="0.25">
      <c r="A33" s="40"/>
      <c r="H33" s="37"/>
      <c r="J33" s="191"/>
      <c r="K33" s="180"/>
      <c r="L33" s="37"/>
      <c r="N33" s="191"/>
      <c r="O33" s="54"/>
      <c r="P33" s="54"/>
      <c r="Q33" s="54"/>
      <c r="R33" s="40"/>
    </row>
    <row r="34" spans="1:18" x14ac:dyDescent="0.25">
      <c r="A34" s="40"/>
      <c r="H34" s="37"/>
      <c r="J34" s="191"/>
      <c r="N34" s="191"/>
      <c r="R34" s="40"/>
    </row>
    <row r="35" spans="1:18" x14ac:dyDescent="0.25">
      <c r="A35" s="40"/>
      <c r="H35" s="37"/>
      <c r="J35" s="191"/>
      <c r="N35" s="191"/>
      <c r="R35" s="40"/>
    </row>
    <row r="36" spans="1:18" ht="15.75" thickBot="1" x14ac:dyDescent="0.3">
      <c r="A36" s="40"/>
      <c r="B36" s="16" t="s">
        <v>15</v>
      </c>
      <c r="C36" s="16"/>
      <c r="D36" s="16"/>
      <c r="E36" s="17"/>
      <c r="F36" s="18"/>
      <c r="G36" s="18"/>
      <c r="H36" s="19">
        <f>SUM(H31:H35)</f>
        <v>0</v>
      </c>
      <c r="I36" s="207">
        <f>H36/$H$59</f>
        <v>0</v>
      </c>
      <c r="J36" s="193"/>
      <c r="K36" s="181"/>
      <c r="L36" s="19"/>
      <c r="M36" s="52" t="e">
        <f>L36/P36</f>
        <v>#DIV/0!</v>
      </c>
      <c r="N36" s="193"/>
      <c r="O36" s="196"/>
      <c r="P36" s="210">
        <f>SUM(P31:P35)</f>
        <v>0</v>
      </c>
      <c r="Q36" s="52">
        <f>P36/P59</f>
        <v>0</v>
      </c>
      <c r="R36" s="40"/>
    </row>
    <row r="37" spans="1:18" ht="5.25" customHeight="1" thickTop="1" x14ac:dyDescent="0.25">
      <c r="A37" s="40"/>
      <c r="R37" s="40"/>
    </row>
    <row r="38" spans="1:18" x14ac:dyDescent="0.25">
      <c r="A38" s="40"/>
      <c r="B38" s="28" t="s">
        <v>108</v>
      </c>
      <c r="C38" s="28"/>
      <c r="D38" s="28"/>
      <c r="E38" s="29"/>
      <c r="F38" s="30"/>
      <c r="G38" s="30"/>
      <c r="H38" s="31"/>
      <c r="I38" s="55"/>
      <c r="J38" s="324" t="s">
        <v>106</v>
      </c>
      <c r="K38" s="325"/>
      <c r="L38" s="325"/>
      <c r="M38" s="325"/>
      <c r="N38" s="332" t="s">
        <v>107</v>
      </c>
      <c r="O38" s="333"/>
      <c r="P38" s="333"/>
      <c r="Q38" s="333"/>
      <c r="R38" s="40"/>
    </row>
    <row r="39" spans="1:18" x14ac:dyDescent="0.25">
      <c r="A39" s="40"/>
      <c r="C39" s="33" t="s">
        <v>122</v>
      </c>
      <c r="D39" s="33"/>
      <c r="F39" s="42"/>
      <c r="G39" s="42"/>
      <c r="J39" s="191"/>
      <c r="N39" s="191"/>
      <c r="P39" s="6">
        <f t="shared" ref="P39:P46" si="4">H39+L39</f>
        <v>0</v>
      </c>
      <c r="R39" s="40"/>
    </row>
    <row r="40" spans="1:18" x14ac:dyDescent="0.25">
      <c r="A40" s="40"/>
      <c r="C40" s="33"/>
      <c r="D40" s="33" t="str">
        <f>'HYPOTHÈSE $'!B24</f>
        <v>À définir</v>
      </c>
      <c r="F40" s="42"/>
      <c r="G40" s="42"/>
      <c r="H40" s="1">
        <v>600</v>
      </c>
      <c r="J40" s="191"/>
      <c r="N40" s="191"/>
      <c r="P40" s="6">
        <f t="shared" si="4"/>
        <v>600</v>
      </c>
      <c r="R40" s="40"/>
    </row>
    <row r="41" spans="1:18" x14ac:dyDescent="0.25">
      <c r="A41" s="40"/>
      <c r="C41" s="33"/>
      <c r="D41" s="33" t="str">
        <f>'HYPOTHÈSE $'!B25</f>
        <v>Inscription colloque</v>
      </c>
      <c r="F41" s="42"/>
      <c r="G41" s="42"/>
      <c r="J41" s="191"/>
      <c r="N41" s="191"/>
      <c r="P41" s="6">
        <f t="shared" si="4"/>
        <v>0</v>
      </c>
      <c r="R41" s="40"/>
    </row>
    <row r="42" spans="1:18" x14ac:dyDescent="0.25">
      <c r="A42" s="40"/>
      <c r="C42" s="33"/>
      <c r="D42" s="33"/>
      <c r="F42" s="42"/>
      <c r="G42" s="42"/>
      <c r="J42" s="191"/>
      <c r="N42" s="191"/>
      <c r="P42" s="6">
        <f t="shared" si="4"/>
        <v>0</v>
      </c>
      <c r="R42" s="40"/>
    </row>
    <row r="43" spans="1:18" x14ac:dyDescent="0.25">
      <c r="A43" s="40"/>
      <c r="C43" s="33"/>
      <c r="D43" s="33"/>
      <c r="F43" s="42"/>
      <c r="G43" s="42"/>
      <c r="J43" s="191"/>
      <c r="N43" s="191"/>
      <c r="P43" s="6">
        <f t="shared" si="4"/>
        <v>0</v>
      </c>
      <c r="R43" s="40"/>
    </row>
    <row r="44" spans="1:18" x14ac:dyDescent="0.25">
      <c r="A44" s="40"/>
      <c r="C44" s="33"/>
      <c r="D44" s="33"/>
      <c r="F44" s="42"/>
      <c r="G44" s="42"/>
      <c r="J44" s="191"/>
      <c r="K44" s="179"/>
      <c r="L44" s="117"/>
      <c r="N44" s="191"/>
      <c r="O44" s="99"/>
      <c r="P44" s="6">
        <f t="shared" si="4"/>
        <v>0</v>
      </c>
      <c r="Q44" s="99"/>
      <c r="R44" s="40"/>
    </row>
    <row r="45" spans="1:18" x14ac:dyDescent="0.25">
      <c r="A45" s="40"/>
      <c r="C45" s="33"/>
      <c r="D45" s="33"/>
      <c r="F45" s="42"/>
      <c r="G45" s="42"/>
      <c r="J45" s="191"/>
      <c r="K45" s="179"/>
      <c r="L45" s="117"/>
      <c r="N45" s="191"/>
      <c r="O45" s="99"/>
      <c r="P45" s="6">
        <f t="shared" si="4"/>
        <v>0</v>
      </c>
      <c r="Q45" s="99"/>
      <c r="R45" s="40"/>
    </row>
    <row r="46" spans="1:18" x14ac:dyDescent="0.25">
      <c r="A46" s="40"/>
      <c r="C46" s="33"/>
      <c r="D46" s="33"/>
      <c r="F46" s="42"/>
      <c r="G46" s="42"/>
      <c r="J46" s="191"/>
      <c r="K46" s="179"/>
      <c r="L46" s="117"/>
      <c r="N46" s="191"/>
      <c r="O46" s="99"/>
      <c r="P46" s="6">
        <f t="shared" si="4"/>
        <v>0</v>
      </c>
      <c r="Q46" s="99"/>
      <c r="R46" s="40"/>
    </row>
    <row r="47" spans="1:18" ht="15.75" thickBot="1" x14ac:dyDescent="0.3">
      <c r="A47" s="40"/>
      <c r="B47" s="16" t="s">
        <v>14</v>
      </c>
      <c r="C47" s="16"/>
      <c r="D47" s="16"/>
      <c r="E47" s="17"/>
      <c r="F47" s="18"/>
      <c r="G47" s="18"/>
      <c r="H47" s="19">
        <f>SUM(H39:H46)</f>
        <v>600</v>
      </c>
      <c r="I47" s="207">
        <f>H47/$H$59</f>
        <v>1.0227076039459047E-2</v>
      </c>
      <c r="J47" s="193"/>
      <c r="K47" s="181"/>
      <c r="L47" s="19"/>
      <c r="M47" s="52">
        <f>L47/P47</f>
        <v>0</v>
      </c>
      <c r="N47" s="193"/>
      <c r="O47" s="196"/>
      <c r="P47" s="210">
        <f>SUM(P39:P46)</f>
        <v>600</v>
      </c>
      <c r="Q47" s="52">
        <f>P47/P59</f>
        <v>8.4436848639519672E-3</v>
      </c>
      <c r="R47" s="40"/>
    </row>
    <row r="48" spans="1:18" ht="6" customHeight="1" thickTop="1" x14ac:dyDescent="0.25">
      <c r="A48" s="40"/>
      <c r="R48" s="40"/>
    </row>
    <row r="49" spans="1:18" x14ac:dyDescent="0.25">
      <c r="A49" s="40"/>
      <c r="B49" s="28" t="s">
        <v>17</v>
      </c>
      <c r="C49" s="28"/>
      <c r="D49" s="28"/>
      <c r="E49" s="29"/>
      <c r="F49" s="30"/>
      <c r="G49" s="30"/>
      <c r="H49" s="31"/>
      <c r="I49" s="55"/>
      <c r="J49" s="324" t="s">
        <v>106</v>
      </c>
      <c r="K49" s="325"/>
      <c r="L49" s="325"/>
      <c r="M49" s="325"/>
      <c r="N49" s="332" t="s">
        <v>107</v>
      </c>
      <c r="O49" s="333"/>
      <c r="P49" s="333"/>
      <c r="Q49" s="333"/>
      <c r="R49" s="40"/>
    </row>
    <row r="50" spans="1:18" x14ac:dyDescent="0.25">
      <c r="A50" s="40"/>
      <c r="C50" t="str">
        <f>' BUDGET 2019-2021 AN 1'!C50</f>
        <v>Kilométrage et repas</v>
      </c>
      <c r="H50" s="37"/>
      <c r="J50" s="191"/>
      <c r="K50" s="180"/>
      <c r="L50" s="37"/>
      <c r="N50" s="191"/>
      <c r="O50" s="54"/>
      <c r="P50" s="180"/>
      <c r="Q50" s="54"/>
      <c r="R50" s="40"/>
    </row>
    <row r="51" spans="1:18" x14ac:dyDescent="0.25">
      <c r="A51" s="40"/>
      <c r="D51" t="str">
        <f>' BUDGET 2019-2021 AN 1'!D51</f>
        <v>CISSS</v>
      </c>
      <c r="H51" s="37">
        <f>'HYPOTHÈSE $'!J66-L51</f>
        <v>892.44999999999982</v>
      </c>
      <c r="J51" s="191"/>
      <c r="K51" s="180"/>
      <c r="L51" s="37">
        <f>'HYPOTHÈSE $'!J57+'HYPOTHÈSE $'!J58</f>
        <v>1566.5</v>
      </c>
      <c r="N51" s="191"/>
      <c r="O51" s="54"/>
      <c r="P51" s="180">
        <f>H51+L51</f>
        <v>2458.9499999999998</v>
      </c>
      <c r="Q51" s="54"/>
      <c r="R51" s="40"/>
    </row>
    <row r="52" spans="1:18" x14ac:dyDescent="0.25">
      <c r="A52" s="40"/>
      <c r="D52" t="str">
        <f>' BUDGET 2019-2021 AN 1'!D52</f>
        <v>Équijustice EST</v>
      </c>
      <c r="H52" s="37">
        <f>'HYPOTHÈSE $'!K66</f>
        <v>7012.4733333333343</v>
      </c>
      <c r="J52" s="191"/>
      <c r="K52" s="180"/>
      <c r="L52" s="37"/>
      <c r="N52" s="191"/>
      <c r="O52" s="54"/>
      <c r="P52" s="180">
        <f t="shared" ref="P52:P53" si="5">H52+L52</f>
        <v>7012.4733333333343</v>
      </c>
      <c r="Q52" s="54"/>
      <c r="R52" s="40"/>
    </row>
    <row r="53" spans="1:18" x14ac:dyDescent="0.25">
      <c r="A53" s="40"/>
      <c r="D53" t="str">
        <f>' BUDGET 2019-2021 AN 1'!D53</f>
        <v>Équijustice RDL</v>
      </c>
      <c r="H53" s="37">
        <f>'HYPOTHÈSE $'!L66</f>
        <v>4606.7066666666669</v>
      </c>
      <c r="J53" s="191"/>
      <c r="K53" s="180"/>
      <c r="L53" s="37"/>
      <c r="N53" s="191"/>
      <c r="O53" s="54"/>
      <c r="P53" s="180">
        <f t="shared" si="5"/>
        <v>4606.7066666666669</v>
      </c>
      <c r="Q53" s="54"/>
      <c r="R53" s="40"/>
    </row>
    <row r="54" spans="1:18" x14ac:dyDescent="0.25">
      <c r="A54" s="40"/>
      <c r="J54" s="191"/>
      <c r="N54" s="191"/>
      <c r="P54" s="180"/>
      <c r="R54" s="40"/>
    </row>
    <row r="55" spans="1:18" ht="15.75" thickBot="1" x14ac:dyDescent="0.3">
      <c r="A55" s="40"/>
      <c r="B55" s="16" t="s">
        <v>14</v>
      </c>
      <c r="C55" s="16"/>
      <c r="D55" s="16"/>
      <c r="E55" s="17"/>
      <c r="F55" s="18"/>
      <c r="G55" s="18"/>
      <c r="H55" s="19">
        <f>SUM(H50:H54)</f>
        <v>12511.630000000001</v>
      </c>
      <c r="I55" s="207">
        <f>H55/$H$59</f>
        <v>0.21326231897929501</v>
      </c>
      <c r="J55" s="193"/>
      <c r="K55" s="181"/>
      <c r="L55" s="19">
        <f>SUM(L50:L54)</f>
        <v>1566.5</v>
      </c>
      <c r="M55" s="52">
        <f>L55/P55</f>
        <v>0.11127188056936538</v>
      </c>
      <c r="N55" s="193"/>
      <c r="O55" s="196"/>
      <c r="P55" s="19">
        <f>SUM(P50:P54)</f>
        <v>14078.130000000001</v>
      </c>
      <c r="Q55" s="52">
        <f>P55/P59</f>
        <v>0.1981188219895802</v>
      </c>
      <c r="R55" s="40"/>
    </row>
    <row r="56" spans="1:18" ht="6" customHeight="1" thickTop="1" x14ac:dyDescent="0.25">
      <c r="A56" s="40"/>
      <c r="B56" s="73"/>
      <c r="C56" s="73"/>
      <c r="D56" s="73"/>
      <c r="E56" s="74"/>
      <c r="F56" s="75"/>
      <c r="G56" s="75"/>
      <c r="H56" s="76"/>
      <c r="I56" s="182"/>
      <c r="J56" s="197"/>
      <c r="K56" s="182"/>
      <c r="L56" s="76"/>
      <c r="M56" s="77"/>
      <c r="N56" s="77"/>
      <c r="O56" s="77"/>
      <c r="P56" s="77"/>
      <c r="Q56" s="77"/>
      <c r="R56" s="40"/>
    </row>
    <row r="57" spans="1:18" x14ac:dyDescent="0.25">
      <c r="A57" s="40"/>
      <c r="B57" s="79" t="s">
        <v>28</v>
      </c>
      <c r="C57" s="79"/>
      <c r="D57" s="79"/>
      <c r="E57" s="80"/>
      <c r="F57" s="81"/>
      <c r="G57" s="81"/>
      <c r="H57" s="82">
        <f>IF(H59&lt;50000,0,H59-'HYPOTHÈSE $'!D4)</f>
        <v>8667.7949479425733</v>
      </c>
      <c r="I57" s="183"/>
      <c r="J57" s="198"/>
      <c r="K57" s="183"/>
      <c r="L57" s="82"/>
      <c r="M57" s="83"/>
      <c r="N57" s="83"/>
      <c r="O57" s="83"/>
      <c r="P57" s="83"/>
      <c r="Q57" s="83"/>
      <c r="R57" s="40"/>
    </row>
    <row r="58" spans="1:18" ht="5.25" customHeight="1" x14ac:dyDescent="0.25">
      <c r="A58" s="40"/>
      <c r="R58" s="40"/>
    </row>
    <row r="59" spans="1:18" ht="19.5" thickBot="1" x14ac:dyDescent="0.35">
      <c r="A59" s="40"/>
      <c r="B59" s="334" t="s">
        <v>185</v>
      </c>
      <c r="C59" s="334"/>
      <c r="D59" s="334"/>
      <c r="E59" s="334"/>
      <c r="F59" s="334"/>
      <c r="G59" s="334"/>
      <c r="H59" s="233">
        <f>H55+H47+H36+H28</f>
        <v>58667.794947942573</v>
      </c>
      <c r="I59" s="234"/>
      <c r="J59" s="235"/>
      <c r="K59" s="234"/>
      <c r="L59" s="233">
        <f>L55+L47+L36+L28</f>
        <v>12391.228413000001</v>
      </c>
      <c r="M59" s="363">
        <f>L59/H59</f>
        <v>0.2112100586700941</v>
      </c>
      <c r="N59" s="234"/>
      <c r="O59" s="234"/>
      <c r="P59" s="233">
        <f>P55+P47+P36+P28</f>
        <v>71059.023360942563</v>
      </c>
      <c r="Q59" s="236"/>
      <c r="R59" s="40"/>
    </row>
    <row r="60" spans="1:18" ht="7.5" customHeight="1" x14ac:dyDescent="0.25">
      <c r="D60" s="87"/>
      <c r="E60" s="321"/>
      <c r="F60" s="321"/>
      <c r="G60" s="321"/>
    </row>
    <row r="61" spans="1:18" x14ac:dyDescent="0.25">
      <c r="A61" s="237" t="s">
        <v>30</v>
      </c>
      <c r="B61" s="238"/>
      <c r="C61" s="238"/>
      <c r="D61" s="238"/>
      <c r="E61" s="239"/>
      <c r="F61" s="240"/>
      <c r="G61" s="240"/>
      <c r="H61" s="241"/>
      <c r="I61" s="242"/>
      <c r="J61" s="243"/>
      <c r="K61" s="242"/>
      <c r="L61" s="241"/>
      <c r="M61" s="244" t="s">
        <v>31</v>
      </c>
      <c r="N61" s="244"/>
      <c r="O61" s="244"/>
      <c r="P61" s="244"/>
      <c r="Q61" s="244"/>
      <c r="R61" s="237"/>
    </row>
    <row r="62" spans="1:18" x14ac:dyDescent="0.25">
      <c r="A62" s="101"/>
      <c r="H62" s="118"/>
      <c r="I62" s="118"/>
      <c r="J62" s="201"/>
      <c r="K62" s="118"/>
      <c r="L62" s="118"/>
      <c r="M62" s="118"/>
      <c r="N62" s="118"/>
      <c r="O62" s="118"/>
      <c r="P62" s="118"/>
      <c r="Q62" s="118"/>
      <c r="R62" s="101"/>
    </row>
    <row r="63" spans="1:18" x14ac:dyDescent="0.25">
      <c r="A63" s="101"/>
      <c r="H63" s="118"/>
      <c r="I63" s="118"/>
      <c r="J63" s="201"/>
      <c r="K63" s="118"/>
      <c r="L63" s="118"/>
      <c r="M63" s="118"/>
      <c r="N63" s="118"/>
      <c r="O63" s="118"/>
      <c r="P63" s="118"/>
      <c r="Q63" s="118"/>
      <c r="R63" s="101"/>
    </row>
    <row r="64" spans="1:18" x14ac:dyDescent="0.25">
      <c r="A64" s="101"/>
      <c r="H64" s="118"/>
      <c r="I64" s="118"/>
      <c r="J64" s="201"/>
      <c r="K64" s="118"/>
      <c r="L64" s="118"/>
      <c r="M64" s="118"/>
      <c r="N64" s="118"/>
      <c r="O64" s="118"/>
      <c r="P64" s="118"/>
      <c r="Q64" s="118"/>
      <c r="R64" s="101"/>
    </row>
    <row r="65" spans="1:18" x14ac:dyDescent="0.25">
      <c r="A65" s="101"/>
      <c r="B65" s="89"/>
      <c r="H65" s="118"/>
      <c r="I65" s="118"/>
      <c r="J65" s="201"/>
      <c r="K65" s="118"/>
      <c r="L65" s="118"/>
      <c r="M65" s="118"/>
      <c r="N65" s="118"/>
      <c r="O65" s="118"/>
      <c r="P65" s="118"/>
      <c r="Q65" s="118"/>
      <c r="R65" s="101"/>
    </row>
    <row r="66" spans="1:18" x14ac:dyDescent="0.25">
      <c r="A66" s="101"/>
      <c r="H66" s="118"/>
      <c r="I66" s="118"/>
      <c r="J66" s="201"/>
      <c r="K66" s="118"/>
      <c r="L66" s="118"/>
      <c r="M66" s="118"/>
      <c r="N66" s="118"/>
      <c r="O66" s="118"/>
      <c r="P66" s="118"/>
      <c r="Q66" s="118"/>
      <c r="R66" s="101"/>
    </row>
    <row r="67" spans="1:18" x14ac:dyDescent="0.25">
      <c r="A67" s="101"/>
      <c r="H67" s="118"/>
      <c r="I67" s="118"/>
      <c r="J67" s="201"/>
      <c r="K67" s="118"/>
      <c r="L67" s="118"/>
      <c r="M67" s="118"/>
      <c r="N67" s="118"/>
      <c r="O67" s="118"/>
      <c r="P67" s="118"/>
      <c r="Q67" s="118"/>
      <c r="R67" s="101"/>
    </row>
    <row r="68" spans="1:18" x14ac:dyDescent="0.25">
      <c r="A68" s="101"/>
      <c r="H68" s="118"/>
      <c r="I68" s="118"/>
      <c r="J68" s="201"/>
      <c r="K68" s="118"/>
      <c r="L68" s="118"/>
      <c r="M68" s="118"/>
      <c r="N68" s="118"/>
      <c r="O68" s="118"/>
      <c r="P68" s="118"/>
      <c r="Q68" s="118"/>
      <c r="R68" s="101"/>
    </row>
    <row r="69" spans="1:18" x14ac:dyDescent="0.25">
      <c r="A69" s="101"/>
      <c r="H69" s="118"/>
      <c r="I69" s="118"/>
      <c r="J69" s="201"/>
      <c r="K69" s="118"/>
      <c r="L69" s="118"/>
      <c r="M69" s="118"/>
      <c r="N69" s="118"/>
      <c r="O69" s="118"/>
      <c r="P69" s="118"/>
      <c r="Q69" s="118"/>
      <c r="R69" s="101"/>
    </row>
  </sheetData>
  <mergeCells count="14">
    <mergeCell ref="B59:G59"/>
    <mergeCell ref="E60:G60"/>
    <mergeCell ref="J30:M30"/>
    <mergeCell ref="N30:Q30"/>
    <mergeCell ref="J38:M38"/>
    <mergeCell ref="N38:Q38"/>
    <mergeCell ref="J49:M49"/>
    <mergeCell ref="N49:Q49"/>
    <mergeCell ref="A1:R1"/>
    <mergeCell ref="A2:R2"/>
    <mergeCell ref="B4:Q4"/>
    <mergeCell ref="B5:D5"/>
    <mergeCell ref="J6:M6"/>
    <mergeCell ref="N6:Q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68"/>
  <sheetViews>
    <sheetView topLeftCell="A33" workbookViewId="0">
      <selection activeCell="H42" sqref="H42"/>
    </sheetView>
  </sheetViews>
  <sheetFormatPr baseColWidth="10" defaultRowHeight="15" x14ac:dyDescent="0.25"/>
  <cols>
    <col min="1" max="3" width="1.28515625" customWidth="1"/>
    <col min="4" max="4" width="30.7109375" customWidth="1"/>
    <col min="5" max="5" width="4.28515625" style="11" customWidth="1"/>
    <col min="6" max="6" width="5.5703125" style="142" customWidth="1"/>
    <col min="7" max="7" width="11" style="142" customWidth="1"/>
    <col min="8" max="8" width="16.5703125" style="1" customWidth="1"/>
    <col min="9" max="9" width="4.7109375" style="6" customWidth="1"/>
    <col min="10" max="10" width="4.7109375" style="36" customWidth="1"/>
    <col min="11" max="11" width="11.140625" style="6" customWidth="1"/>
    <col min="12" max="12" width="16.7109375" style="1" customWidth="1"/>
    <col min="13" max="13" width="5.42578125" style="6" customWidth="1"/>
    <col min="14" max="14" width="5" style="6" customWidth="1"/>
    <col min="15" max="15" width="11.140625" style="6" customWidth="1"/>
    <col min="16" max="16" width="16.85546875" style="6" customWidth="1"/>
    <col min="17" max="17" width="5.140625" style="6" customWidth="1"/>
    <col min="18" max="18" width="1.28515625" customWidth="1"/>
  </cols>
  <sheetData>
    <row r="1" spans="1:18" ht="56.25" customHeight="1" x14ac:dyDescent="0.25">
      <c r="A1" s="294" t="str">
        <f>NOTES!A1</f>
        <v>PROJET NOVATEUR (APPEL DE PROPOSITIONS 2017): 
CISSS/BSL UNE VOIE PARTAGÉE / ADOLESCENTS - VICTIMES</v>
      </c>
      <c r="B1" s="294"/>
      <c r="C1" s="294"/>
      <c r="D1" s="294"/>
      <c r="E1" s="294"/>
      <c r="F1" s="294"/>
      <c r="G1" s="294"/>
      <c r="H1" s="294"/>
      <c r="I1" s="294"/>
      <c r="J1" s="294"/>
      <c r="K1" s="294"/>
      <c r="L1" s="294"/>
      <c r="M1" s="294"/>
      <c r="N1" s="294"/>
      <c r="O1" s="294"/>
      <c r="P1" s="294"/>
      <c r="Q1" s="294"/>
      <c r="R1" s="294"/>
    </row>
    <row r="2" spans="1:18" ht="26.25" x14ac:dyDescent="0.4">
      <c r="A2" s="322" t="s">
        <v>131</v>
      </c>
      <c r="B2" s="322"/>
      <c r="C2" s="322"/>
      <c r="D2" s="322"/>
      <c r="E2" s="322"/>
      <c r="F2" s="322"/>
      <c r="G2" s="322"/>
      <c r="H2" s="322"/>
      <c r="I2" s="322"/>
      <c r="J2" s="322"/>
      <c r="K2" s="322"/>
      <c r="L2" s="322"/>
      <c r="M2" s="322"/>
      <c r="N2" s="322"/>
      <c r="O2" s="322"/>
      <c r="P2" s="322"/>
      <c r="Q2" s="322"/>
      <c r="R2" s="322"/>
    </row>
    <row r="3" spans="1:18" ht="2.25" customHeight="1" x14ac:dyDescent="0.25"/>
    <row r="4" spans="1:18" s="10" customFormat="1" ht="21" x14ac:dyDescent="0.35">
      <c r="A4" s="38"/>
      <c r="B4" s="335" t="s">
        <v>133</v>
      </c>
      <c r="C4" s="335"/>
      <c r="D4" s="335"/>
      <c r="E4" s="335"/>
      <c r="F4" s="335"/>
      <c r="G4" s="335"/>
      <c r="H4" s="335"/>
      <c r="I4" s="335"/>
      <c r="J4" s="335"/>
      <c r="K4" s="335"/>
      <c r="L4" s="335"/>
      <c r="M4" s="335"/>
      <c r="N4" s="335"/>
      <c r="O4" s="335"/>
      <c r="P4" s="335"/>
      <c r="Q4" s="335"/>
      <c r="R4" s="38"/>
    </row>
    <row r="5" spans="1:18" s="15" customFormat="1" ht="16.5" customHeight="1" x14ac:dyDescent="0.25">
      <c r="A5" s="39"/>
      <c r="B5" s="328" t="s">
        <v>8</v>
      </c>
      <c r="C5" s="328"/>
      <c r="D5" s="328"/>
      <c r="E5" s="12" t="s">
        <v>9</v>
      </c>
      <c r="F5" s="206" t="s">
        <v>10</v>
      </c>
      <c r="G5" s="206" t="s">
        <v>11</v>
      </c>
      <c r="H5" s="14" t="s">
        <v>1</v>
      </c>
      <c r="I5" s="14" t="s">
        <v>33</v>
      </c>
      <c r="J5" s="189" t="s">
        <v>10</v>
      </c>
      <c r="K5" s="182" t="s">
        <v>11</v>
      </c>
      <c r="L5" s="75" t="s">
        <v>1</v>
      </c>
      <c r="M5" s="182" t="s">
        <v>33</v>
      </c>
      <c r="N5" s="186" t="s">
        <v>10</v>
      </c>
      <c r="O5" s="182" t="s">
        <v>11</v>
      </c>
      <c r="P5" s="182" t="s">
        <v>1</v>
      </c>
      <c r="Q5" s="182" t="s">
        <v>33</v>
      </c>
      <c r="R5" s="39"/>
    </row>
    <row r="6" spans="1:18" ht="16.5" customHeight="1" x14ac:dyDescent="0.25">
      <c r="A6" s="40"/>
      <c r="B6" s="20" t="s">
        <v>12</v>
      </c>
      <c r="C6" s="21"/>
      <c r="D6" s="21"/>
      <c r="E6" s="22"/>
      <c r="F6" s="23"/>
      <c r="G6" s="23"/>
      <c r="H6" s="24"/>
      <c r="I6" s="176"/>
      <c r="J6" s="324" t="s">
        <v>106</v>
      </c>
      <c r="K6" s="325"/>
      <c r="L6" s="325"/>
      <c r="M6" s="325"/>
      <c r="N6" s="336" t="s">
        <v>107</v>
      </c>
      <c r="O6" s="337"/>
      <c r="P6" s="337"/>
      <c r="Q6" s="337"/>
      <c r="R6" s="40"/>
    </row>
    <row r="7" spans="1:18" ht="16.5" customHeight="1" x14ac:dyDescent="0.25">
      <c r="A7" s="40"/>
      <c r="C7" s="43" t="s">
        <v>0</v>
      </c>
      <c r="D7" s="43"/>
      <c r="E7" s="44"/>
      <c r="F7" s="45">
        <v>1</v>
      </c>
      <c r="G7" s="211" t="str">
        <f>' BUDGET 2019-2021 AN 1'!G7</f>
        <v>Déléguée J</v>
      </c>
      <c r="I7" s="143">
        <f>(H8+H9)/H28</f>
        <v>0.26593422494293051</v>
      </c>
      <c r="J7" s="190"/>
      <c r="K7" s="204" t="str">
        <f>G7</f>
        <v>Déléguée J</v>
      </c>
      <c r="L7" s="65"/>
      <c r="M7" s="108">
        <f>SUM(L8:L9)/SUM(P8:P9)</f>
        <v>0</v>
      </c>
      <c r="N7" s="202"/>
      <c r="O7" s="204" t="str">
        <f>K7</f>
        <v>Déléguée J</v>
      </c>
      <c r="P7" s="108"/>
      <c r="Q7" s="143">
        <f>(P8+P9)/P28</f>
        <v>0.18999323036619886</v>
      </c>
      <c r="R7" s="40"/>
    </row>
    <row r="8" spans="1:18" ht="16.5" customHeight="1" x14ac:dyDescent="0.25">
      <c r="A8" s="40"/>
      <c r="D8" s="2"/>
      <c r="E8" s="13"/>
      <c r="F8" s="5">
        <f>' BUDGET 2019-2021 AN 1'!F8+'BUDGET 2019-2021 AN 2'!F8+'BUDGET 2019-2021 AN 3'!F8</f>
        <v>80</v>
      </c>
      <c r="G8" s="5" t="s">
        <v>2</v>
      </c>
      <c r="H8" s="257">
        <f>' BUDGET 2019-2021 AN 1'!H8+'BUDGET 2019-2021 AN 2'!H8+'BUDGET 2019-2021 AN 3'!H8</f>
        <v>25960.152959999999</v>
      </c>
      <c r="J8" s="191">
        <f>' BUDGET 2019-2021 AN 1'!J8+'BUDGET 2019-2021 AN 2'!J8+'BUDGET 2019-2021 AN 3'!J8</f>
        <v>0</v>
      </c>
      <c r="K8" s="187" t="str">
        <f t="shared" ref="K8:K25" si="0">G8</f>
        <v>Jour</v>
      </c>
      <c r="L8" s="257">
        <f>' BUDGET 2019-2021 AN 1'!L8+'BUDGET 2019-2021 AN 2'!L8+'BUDGET 2019-2021 AN 3'!L8</f>
        <v>0</v>
      </c>
      <c r="M8" s="188"/>
      <c r="N8" s="191">
        <f>J8+F8</f>
        <v>80</v>
      </c>
      <c r="O8" s="205" t="str">
        <f t="shared" ref="O8:O25" si="1">K8</f>
        <v>Jour</v>
      </c>
      <c r="P8" s="188">
        <f>H8+L8</f>
        <v>25960.152959999999</v>
      </c>
      <c r="Q8" s="188"/>
      <c r="R8" s="40"/>
    </row>
    <row r="9" spans="1:18" ht="16.5" customHeight="1" x14ac:dyDescent="0.25">
      <c r="A9" s="40"/>
      <c r="D9" s="2"/>
      <c r="E9" s="13"/>
      <c r="F9" s="5">
        <f>' BUDGET 2019-2021 AN 1'!F9+'BUDGET 2019-2021 AN 2'!F9+'BUDGET 2019-2021 AN 3'!F9</f>
        <v>24</v>
      </c>
      <c r="G9" s="5" t="s">
        <v>2</v>
      </c>
      <c r="H9" s="257">
        <f>' BUDGET 2019-2021 AN 1'!H9+'BUDGET 2019-2021 AN 2'!H9+'BUDGET 2019-2021 AN 3'!H9</f>
        <v>7725.2784000000001</v>
      </c>
      <c r="J9" s="191">
        <f>' BUDGET 2019-2021 AN 1'!J9+'BUDGET 2019-2021 AN 2'!J9+'BUDGET 2019-2021 AN 3'!J9</f>
        <v>0</v>
      </c>
      <c r="K9" s="187" t="str">
        <f t="shared" si="0"/>
        <v>Jour</v>
      </c>
      <c r="L9" s="257">
        <f>' BUDGET 2019-2021 AN 1'!L9+'BUDGET 2019-2021 AN 2'!L9+'BUDGET 2019-2021 AN 3'!L9</f>
        <v>0</v>
      </c>
      <c r="M9" s="188"/>
      <c r="N9" s="191">
        <f t="shared" ref="N9:N25" si="2">J9+F9</f>
        <v>24</v>
      </c>
      <c r="O9" s="205" t="str">
        <f t="shared" si="1"/>
        <v>Jour</v>
      </c>
      <c r="P9" s="188">
        <f t="shared" ref="P9:P25" si="3">H9+L9</f>
        <v>7725.2784000000001</v>
      </c>
      <c r="Q9" s="188"/>
      <c r="R9" s="40"/>
    </row>
    <row r="10" spans="1:18" ht="17.25" customHeight="1" x14ac:dyDescent="0.25">
      <c r="A10" s="40"/>
      <c r="C10" s="43" t="s">
        <v>120</v>
      </c>
      <c r="D10" s="43"/>
      <c r="E10" s="44"/>
      <c r="F10" s="5"/>
      <c r="G10" s="46"/>
      <c r="H10" s="257">
        <f>' BUDGET 2019-2021 AN 1'!H10+'BUDGET 2019-2021 AN 2'!H10+'BUDGET 2019-2021 AN 3'!H10</f>
        <v>0</v>
      </c>
      <c r="I10" s="143">
        <f>SUM(H11:H17)/H28</f>
        <v>0.2621806050420844</v>
      </c>
      <c r="J10" s="191"/>
      <c r="K10" s="187"/>
      <c r="L10" s="257"/>
      <c r="M10" s="108">
        <f>SUM(L11:L17)/SUM(P11:P17)</f>
        <v>0.43028157101944553</v>
      </c>
      <c r="N10" s="191"/>
      <c r="O10" s="205"/>
      <c r="P10" s="188"/>
      <c r="Q10" s="143">
        <f>SUM(P11:P17)/P28</f>
        <v>0.32877908835685865</v>
      </c>
      <c r="R10" s="40"/>
    </row>
    <row r="11" spans="1:18" x14ac:dyDescent="0.25">
      <c r="A11" s="40"/>
      <c r="B11" s="90"/>
      <c r="D11" t="s">
        <v>86</v>
      </c>
      <c r="F11" s="5">
        <f>' BUDGET 2019-2021 AN 1'!F11+'BUDGET 2019-2021 AN 2'!F11+'BUDGET 2019-2021 AN 3'!F11</f>
        <v>255.47199999999998</v>
      </c>
      <c r="G11" s="5" t="s">
        <v>5</v>
      </c>
      <c r="H11" s="257">
        <f>' BUDGET 2019-2021 AN 1'!H11+'BUDGET 2019-2021 AN 2'!H11+'BUDGET 2019-2021 AN 3'!H11</f>
        <v>8682.8311747105599</v>
      </c>
      <c r="I11" s="177"/>
      <c r="J11" s="191">
        <f>' BUDGET 2019-2021 AN 1'!J11+'BUDGET 2019-2021 AN 2'!J11+'BUDGET 2019-2021 AN 3'!J11</f>
        <v>0</v>
      </c>
      <c r="K11" s="187" t="str">
        <f t="shared" si="0"/>
        <v>Heure</v>
      </c>
      <c r="L11" s="257">
        <f>' BUDGET 2019-2021 AN 1'!L11+'BUDGET 2019-2021 AN 2'!L11+'BUDGET 2019-2021 AN 3'!L11</f>
        <v>0</v>
      </c>
      <c r="M11" s="146"/>
      <c r="N11" s="191">
        <f t="shared" si="2"/>
        <v>255.47199999999998</v>
      </c>
      <c r="O11" s="205" t="str">
        <f t="shared" si="1"/>
        <v>Heure</v>
      </c>
      <c r="P11" s="188">
        <f t="shared" si="3"/>
        <v>8682.8311747105599</v>
      </c>
      <c r="Q11" s="146"/>
      <c r="R11" s="40"/>
    </row>
    <row r="12" spans="1:18" x14ac:dyDescent="0.25">
      <c r="A12" s="40"/>
      <c r="D12" t="s">
        <v>87</v>
      </c>
      <c r="F12" s="5">
        <f>' BUDGET 2019-2021 AN 1'!F12+'BUDGET 2019-2021 AN 2'!F12+'BUDGET 2019-2021 AN 3'!F12</f>
        <v>146.5</v>
      </c>
      <c r="G12" s="5" t="s">
        <v>5</v>
      </c>
      <c r="H12" s="257">
        <f>' BUDGET 2019-2021 AN 1'!H12+'BUDGET 2019-2021 AN 2'!H12+'BUDGET 2019-2021 AN 3'!H12</f>
        <v>4901.5889999999999</v>
      </c>
      <c r="I12" s="177"/>
      <c r="J12" s="191">
        <f>' BUDGET 2019-2021 AN 1'!J12+'BUDGET 2019-2021 AN 2'!J12+'BUDGET 2019-2021 AN 3'!J12</f>
        <v>0</v>
      </c>
      <c r="K12" s="187" t="str">
        <f t="shared" si="0"/>
        <v>Heure</v>
      </c>
      <c r="L12" s="257">
        <f>' BUDGET 2019-2021 AN 1'!L12+'BUDGET 2019-2021 AN 2'!L12+'BUDGET 2019-2021 AN 3'!L12</f>
        <v>0</v>
      </c>
      <c r="M12" s="146"/>
      <c r="N12" s="191">
        <f t="shared" si="2"/>
        <v>146.5</v>
      </c>
      <c r="O12" s="205" t="str">
        <f t="shared" si="1"/>
        <v>Heure</v>
      </c>
      <c r="P12" s="188">
        <f t="shared" si="3"/>
        <v>4901.5889999999999</v>
      </c>
      <c r="Q12" s="146"/>
      <c r="R12" s="40"/>
    </row>
    <row r="13" spans="1:18" x14ac:dyDescent="0.25">
      <c r="A13" s="40"/>
      <c r="D13" t="s">
        <v>88</v>
      </c>
      <c r="F13" s="5">
        <f>' BUDGET 2019-2021 AN 1'!F13+'BUDGET 2019-2021 AN 2'!F13+'BUDGET 2019-2021 AN 3'!F13</f>
        <v>255.47199999999998</v>
      </c>
      <c r="G13" s="5" t="s">
        <v>5</v>
      </c>
      <c r="H13" s="257">
        <f>' BUDGET 2019-2021 AN 1'!H13+'BUDGET 2019-2021 AN 2'!H13+'BUDGET 2019-2021 AN 3'!H13</f>
        <v>7592.6544322720001</v>
      </c>
      <c r="I13" s="177"/>
      <c r="J13" s="191">
        <f>' BUDGET 2019-2021 AN 1'!J13+'BUDGET 2019-2021 AN 2'!J13+'BUDGET 2019-2021 AN 3'!J13</f>
        <v>0</v>
      </c>
      <c r="K13" s="187" t="str">
        <f t="shared" si="0"/>
        <v>Heure</v>
      </c>
      <c r="L13" s="257">
        <f>' BUDGET 2019-2021 AN 1'!L13+'BUDGET 2019-2021 AN 2'!L13+'BUDGET 2019-2021 AN 3'!L13</f>
        <v>0</v>
      </c>
      <c r="M13" s="146"/>
      <c r="N13" s="191">
        <f t="shared" si="2"/>
        <v>255.47199999999998</v>
      </c>
      <c r="O13" s="205" t="str">
        <f t="shared" si="1"/>
        <v>Heure</v>
      </c>
      <c r="P13" s="188">
        <f t="shared" si="3"/>
        <v>7592.6544322720001</v>
      </c>
      <c r="Q13" s="146"/>
      <c r="R13" s="40"/>
    </row>
    <row r="14" spans="1:18" x14ac:dyDescent="0.25">
      <c r="A14" s="40"/>
      <c r="D14" t="s">
        <v>89</v>
      </c>
      <c r="F14" s="5">
        <f>' BUDGET 2019-2021 AN 1'!F14+'BUDGET 2019-2021 AN 2'!F14+'BUDGET 2019-2021 AN 3'!F14</f>
        <v>146.5</v>
      </c>
      <c r="G14" s="5" t="s">
        <v>5</v>
      </c>
      <c r="H14" s="257">
        <f>' BUDGET 2019-2021 AN 1'!H14+'BUDGET 2019-2021 AN 2'!H14+'BUDGET 2019-2021 AN 3'!H14</f>
        <v>4901.5889999999999</v>
      </c>
      <c r="J14" s="191">
        <f>' BUDGET 2019-2021 AN 1'!J14+'BUDGET 2019-2021 AN 2'!J14+'BUDGET 2019-2021 AN 3'!J14</f>
        <v>0</v>
      </c>
      <c r="K14" s="187" t="str">
        <f t="shared" si="0"/>
        <v>Heure</v>
      </c>
      <c r="L14" s="257">
        <f>' BUDGET 2019-2021 AN 1'!L14+'BUDGET 2019-2021 AN 2'!L14+'BUDGET 2019-2021 AN 3'!L14</f>
        <v>0</v>
      </c>
      <c r="M14" s="100"/>
      <c r="N14" s="191">
        <f t="shared" si="2"/>
        <v>146.5</v>
      </c>
      <c r="O14" s="205" t="str">
        <f t="shared" si="1"/>
        <v>Heure</v>
      </c>
      <c r="P14" s="188">
        <f t="shared" si="3"/>
        <v>4901.5889999999999</v>
      </c>
      <c r="Q14" s="100"/>
      <c r="R14" s="40"/>
    </row>
    <row r="15" spans="1:18" x14ac:dyDescent="0.25">
      <c r="A15" s="40"/>
      <c r="D15" t="s">
        <v>90</v>
      </c>
      <c r="F15" s="5">
        <f>' BUDGET 2019-2021 AN 1'!F15+'BUDGET 2019-2021 AN 2'!F15+'BUDGET 2019-2021 AN 3'!F15</f>
        <v>0</v>
      </c>
      <c r="G15" s="5" t="s">
        <v>5</v>
      </c>
      <c r="H15" s="257">
        <f>' BUDGET 2019-2021 AN 1'!H15+'BUDGET 2019-2021 AN 2'!H15+'BUDGET 2019-2021 AN 3'!H15</f>
        <v>0</v>
      </c>
      <c r="J15" s="191">
        <f>' BUDGET 2019-2021 AN 1'!J15+'BUDGET 2019-2021 AN 2'!J15+'BUDGET 2019-2021 AN 3'!J15</f>
        <v>108</v>
      </c>
      <c r="K15" s="187" t="str">
        <f t="shared" si="0"/>
        <v>Heure</v>
      </c>
      <c r="L15" s="257">
        <f>' BUDGET 2019-2021 AN 1'!L15+'BUDGET 2019-2021 AN 2'!L15+'BUDGET 2019-2021 AN 3'!L15</f>
        <v>4373.152</v>
      </c>
      <c r="M15" s="188"/>
      <c r="N15" s="191">
        <f t="shared" si="2"/>
        <v>108</v>
      </c>
      <c r="O15" s="205" t="str">
        <f t="shared" si="1"/>
        <v>Heure</v>
      </c>
      <c r="P15" s="188">
        <f t="shared" si="3"/>
        <v>4373.152</v>
      </c>
      <c r="Q15" s="188"/>
      <c r="R15" s="40"/>
    </row>
    <row r="16" spans="1:18" x14ac:dyDescent="0.25">
      <c r="A16" s="40"/>
      <c r="D16" t="s">
        <v>91</v>
      </c>
      <c r="F16" s="5">
        <f>' BUDGET 2019-2021 AN 1'!F16+'BUDGET 2019-2021 AN 2'!F16+'BUDGET 2019-2021 AN 3'!F16</f>
        <v>126</v>
      </c>
      <c r="G16" s="5" t="s">
        <v>5</v>
      </c>
      <c r="H16" s="257">
        <f>' BUDGET 2019-2021 AN 1'!H16+'BUDGET 2019-2021 AN 2'!H16+'BUDGET 2019-2021 AN 3'!H16</f>
        <v>6531.3031694399997</v>
      </c>
      <c r="J16" s="191">
        <f>' BUDGET 2019-2021 AN 1'!J16+'BUDGET 2019-2021 AN 2'!J16+'BUDGET 2019-2021 AN 3'!J16</f>
        <v>395.5</v>
      </c>
      <c r="K16" s="187" t="str">
        <f t="shared" si="0"/>
        <v>Heure</v>
      </c>
      <c r="L16" s="257">
        <f>' BUDGET 2019-2021 AN 1'!L16+'BUDGET 2019-2021 AN 2'!L16+'BUDGET 2019-2021 AN 3'!L16</f>
        <v>20708.776108999999</v>
      </c>
      <c r="M16" s="188"/>
      <c r="N16" s="191">
        <f t="shared" si="2"/>
        <v>521.5</v>
      </c>
      <c r="O16" s="205" t="str">
        <f t="shared" si="1"/>
        <v>Heure</v>
      </c>
      <c r="P16" s="188">
        <f t="shared" si="3"/>
        <v>27240.079278439996</v>
      </c>
      <c r="Q16" s="188"/>
      <c r="R16" s="40"/>
    </row>
    <row r="17" spans="1:18" x14ac:dyDescent="0.25">
      <c r="A17" s="40"/>
      <c r="D17" t="s">
        <v>93</v>
      </c>
      <c r="F17" s="5">
        <f>' BUDGET 2019-2021 AN 1'!F17+'BUDGET 2019-2021 AN 2'!F17+'BUDGET 2019-2021 AN 3'!F17</f>
        <v>12</v>
      </c>
      <c r="G17" s="142" t="s">
        <v>94</v>
      </c>
      <c r="H17" s="257">
        <f>' BUDGET 2019-2021 AN 1'!H17+'BUDGET 2019-2021 AN 2'!H17+'BUDGET 2019-2021 AN 3'!H17</f>
        <v>600</v>
      </c>
      <c r="J17" s="191">
        <f>' BUDGET 2019-2021 AN 1'!J17+'BUDGET 2019-2021 AN 2'!J17+'BUDGET 2019-2021 AN 3'!J17</f>
        <v>0</v>
      </c>
      <c r="K17" s="187" t="str">
        <f t="shared" si="0"/>
        <v>Présence</v>
      </c>
      <c r="L17" s="257">
        <f>' BUDGET 2019-2021 AN 1'!L17+'BUDGET 2019-2021 AN 2'!L17+'BUDGET 2019-2021 AN 3'!L17</f>
        <v>0</v>
      </c>
      <c r="M17" s="188"/>
      <c r="N17" s="191">
        <f t="shared" si="2"/>
        <v>12</v>
      </c>
      <c r="O17" s="205" t="str">
        <f t="shared" si="1"/>
        <v>Présence</v>
      </c>
      <c r="P17" s="188">
        <f t="shared" si="3"/>
        <v>600</v>
      </c>
      <c r="Q17" s="188"/>
      <c r="R17" s="40"/>
    </row>
    <row r="18" spans="1:18" x14ac:dyDescent="0.25">
      <c r="A18" s="40"/>
      <c r="C18" s="43" t="s">
        <v>121</v>
      </c>
      <c r="E18" s="57"/>
      <c r="F18" s="5"/>
      <c r="H18" s="257">
        <f>' BUDGET 2019-2021 AN 1'!H18+'BUDGET 2019-2021 AN 2'!H18+'BUDGET 2019-2021 AN 3'!H18</f>
        <v>0</v>
      </c>
      <c r="I18" s="143">
        <f>SUM(H19:H25)/$H$28</f>
        <v>0.47188517001498509</v>
      </c>
      <c r="J18" s="191"/>
      <c r="K18" s="187"/>
      <c r="L18" s="257"/>
      <c r="M18" s="108">
        <f>SUM(L19:L25)/SUM(P19:P25)</f>
        <v>0.29943308806567948</v>
      </c>
      <c r="N18" s="191"/>
      <c r="O18" s="205"/>
      <c r="P18" s="188"/>
      <c r="Q18" s="143">
        <f>SUM(P19:P25)/$P$28</f>
        <v>0.48122768127694249</v>
      </c>
      <c r="R18" s="40"/>
    </row>
    <row r="19" spans="1:18" x14ac:dyDescent="0.25">
      <c r="A19" s="40"/>
      <c r="D19" t="s">
        <v>86</v>
      </c>
      <c r="F19" s="5">
        <f>' BUDGET 2019-2021 AN 1'!F19+'BUDGET 2019-2021 AN 2'!F19+'BUDGET 2019-2021 AN 3'!F19</f>
        <v>933</v>
      </c>
      <c r="G19" s="142" t="s">
        <v>5</v>
      </c>
      <c r="H19" s="257">
        <f>' BUDGET 2019-2021 AN 1'!H19+'BUDGET 2019-2021 AN 2'!H19+'BUDGET 2019-2021 AN 3'!H19</f>
        <v>27558.008936000002</v>
      </c>
      <c r="I19" s="213"/>
      <c r="J19" s="191">
        <f>' BUDGET 2019-2021 AN 1'!J19+'BUDGET 2019-2021 AN 2'!J19+'BUDGET 2019-2021 AN 3'!J19</f>
        <v>99</v>
      </c>
      <c r="K19" s="215" t="str">
        <f t="shared" si="0"/>
        <v>Heure</v>
      </c>
      <c r="L19" s="257">
        <f>' BUDGET 2019-2021 AN 1'!L19+'BUDGET 2019-2021 AN 2'!L19+'BUDGET 2019-2021 AN 3'!L19</f>
        <v>2683.5811839999997</v>
      </c>
      <c r="M19" s="188"/>
      <c r="N19" s="191">
        <f t="shared" si="2"/>
        <v>1032</v>
      </c>
      <c r="O19" s="205" t="str">
        <f t="shared" si="1"/>
        <v>Heure</v>
      </c>
      <c r="P19" s="188">
        <f t="shared" si="3"/>
        <v>30241.590120000001</v>
      </c>
      <c r="Q19" s="188"/>
      <c r="R19" s="40"/>
    </row>
    <row r="20" spans="1:18" x14ac:dyDescent="0.25">
      <c r="A20" s="40"/>
      <c r="D20" t="s">
        <v>87</v>
      </c>
      <c r="F20" s="5">
        <f>' BUDGET 2019-2021 AN 1'!F20+'BUDGET 2019-2021 AN 2'!F20+'BUDGET 2019-2021 AN 3'!F20</f>
        <v>0</v>
      </c>
      <c r="G20" s="142" t="s">
        <v>5</v>
      </c>
      <c r="H20" s="257">
        <f>' BUDGET 2019-2021 AN 1'!H20+'BUDGET 2019-2021 AN 2'!H20+'BUDGET 2019-2021 AN 3'!H20</f>
        <v>0</v>
      </c>
      <c r="J20" s="191">
        <f>' BUDGET 2019-2021 AN 1'!J20+'BUDGET 2019-2021 AN 2'!J20+'BUDGET 2019-2021 AN 3'!J20</f>
        <v>0</v>
      </c>
      <c r="K20" s="187" t="str">
        <f t="shared" si="0"/>
        <v>Heure</v>
      </c>
      <c r="L20" s="257">
        <f>' BUDGET 2019-2021 AN 1'!L20+'BUDGET 2019-2021 AN 2'!L20+'BUDGET 2019-2021 AN 3'!L20</f>
        <v>0</v>
      </c>
      <c r="M20" s="188"/>
      <c r="N20" s="191">
        <f t="shared" si="2"/>
        <v>0</v>
      </c>
      <c r="O20" s="205" t="str">
        <f t="shared" si="1"/>
        <v>Heure</v>
      </c>
      <c r="P20" s="188">
        <f t="shared" si="3"/>
        <v>0</v>
      </c>
      <c r="Q20" s="188"/>
      <c r="R20" s="40"/>
    </row>
    <row r="21" spans="1:18" x14ac:dyDescent="0.25">
      <c r="A21" s="40"/>
      <c r="D21" t="s">
        <v>88</v>
      </c>
      <c r="F21" s="5">
        <f>' BUDGET 2019-2021 AN 1'!F21+'BUDGET 2019-2021 AN 2'!F21+'BUDGET 2019-2021 AN 3'!F21</f>
        <v>831</v>
      </c>
      <c r="G21" s="142" t="s">
        <v>5</v>
      </c>
      <c r="H21" s="257">
        <f>' BUDGET 2019-2021 AN 1'!H21+'BUDGET 2019-2021 AN 2'!H21+'BUDGET 2019-2021 AN 3'!H21</f>
        <v>25016.353128000002</v>
      </c>
      <c r="J21" s="191">
        <f>' BUDGET 2019-2021 AN 1'!J21+'BUDGET 2019-2021 AN 2'!J21+'BUDGET 2019-2021 AN 3'!J21</f>
        <v>135</v>
      </c>
      <c r="K21" s="187" t="str">
        <f t="shared" si="0"/>
        <v>Heure</v>
      </c>
      <c r="L21" s="257">
        <f>' BUDGET 2019-2021 AN 1'!L21+'BUDGET 2019-2021 AN 2'!L21+'BUDGET 2019-2021 AN 3'!L21</f>
        <v>4072.7731199999998</v>
      </c>
      <c r="M21" s="188"/>
      <c r="N21" s="191">
        <f>J21+F21</f>
        <v>966</v>
      </c>
      <c r="O21" s="205" t="str">
        <f t="shared" si="1"/>
        <v>Heure</v>
      </c>
      <c r="P21" s="188">
        <f t="shared" si="3"/>
        <v>29089.126248</v>
      </c>
      <c r="Q21" s="188"/>
      <c r="R21" s="40"/>
    </row>
    <row r="22" spans="1:18" x14ac:dyDescent="0.25">
      <c r="A22" s="40"/>
      <c r="D22" t="s">
        <v>89</v>
      </c>
      <c r="F22" s="5">
        <f>' BUDGET 2019-2021 AN 1'!F22+'BUDGET 2019-2021 AN 2'!F22+'BUDGET 2019-2021 AN 3'!F22</f>
        <v>0</v>
      </c>
      <c r="G22" s="142" t="s">
        <v>5</v>
      </c>
      <c r="H22" s="257">
        <f>' BUDGET 2019-2021 AN 1'!H22+'BUDGET 2019-2021 AN 2'!H22+'BUDGET 2019-2021 AN 3'!H22</f>
        <v>0</v>
      </c>
      <c r="J22" s="191">
        <f>' BUDGET 2019-2021 AN 1'!J22+'BUDGET 2019-2021 AN 2'!J22+'BUDGET 2019-2021 AN 3'!J22</f>
        <v>135</v>
      </c>
      <c r="K22" s="187" t="str">
        <f t="shared" si="0"/>
        <v>Heure</v>
      </c>
      <c r="L22" s="257">
        <f>' BUDGET 2019-2021 AN 1'!L22+'BUDGET 2019-2021 AN 2'!L22+'BUDGET 2019-2021 AN 3'!L22</f>
        <v>4534.2000000000007</v>
      </c>
      <c r="M22" s="188"/>
      <c r="N22" s="191">
        <f t="shared" si="2"/>
        <v>135</v>
      </c>
      <c r="O22" s="205" t="str">
        <f t="shared" si="1"/>
        <v>Heure</v>
      </c>
      <c r="P22" s="188">
        <f t="shared" si="3"/>
        <v>4534.2000000000007</v>
      </c>
      <c r="Q22" s="188"/>
      <c r="R22" s="40"/>
    </row>
    <row r="23" spans="1:18" x14ac:dyDescent="0.25">
      <c r="A23" s="40"/>
      <c r="D23" t="s">
        <v>90</v>
      </c>
      <c r="F23" s="5">
        <f>' BUDGET 2019-2021 AN 1'!F23+'BUDGET 2019-2021 AN 2'!F23+'BUDGET 2019-2021 AN 3'!F23</f>
        <v>0</v>
      </c>
      <c r="G23" s="142" t="s">
        <v>5</v>
      </c>
      <c r="H23" s="257">
        <f>' BUDGET 2019-2021 AN 1'!H23+'BUDGET 2019-2021 AN 2'!H23+'BUDGET 2019-2021 AN 3'!H23</f>
        <v>0</v>
      </c>
      <c r="J23" s="191">
        <f>' BUDGET 2019-2021 AN 1'!J23+'BUDGET 2019-2021 AN 2'!J23+'BUDGET 2019-2021 AN 3'!J23</f>
        <v>14</v>
      </c>
      <c r="K23" s="187" t="str">
        <f t="shared" si="0"/>
        <v>Heure</v>
      </c>
      <c r="L23" s="257">
        <f>' BUDGET 2019-2021 AN 1'!L23+'BUDGET 2019-2021 AN 2'!L23+'BUDGET 2019-2021 AN 3'!L23</f>
        <v>560</v>
      </c>
      <c r="M23" s="188"/>
      <c r="N23" s="191">
        <f t="shared" si="2"/>
        <v>14</v>
      </c>
      <c r="O23" s="205" t="str">
        <f t="shared" si="1"/>
        <v>Heure</v>
      </c>
      <c r="P23" s="188">
        <f t="shared" si="3"/>
        <v>560</v>
      </c>
      <c r="Q23" s="188"/>
      <c r="R23" s="40"/>
    </row>
    <row r="24" spans="1:18" x14ac:dyDescent="0.25">
      <c r="A24" s="40"/>
      <c r="D24" t="s">
        <v>91</v>
      </c>
      <c r="F24" s="5">
        <f>' BUDGET 2019-2021 AN 1'!F24+'BUDGET 2019-2021 AN 2'!F24+'BUDGET 2019-2021 AN 3'!F24</f>
        <v>132</v>
      </c>
      <c r="G24" s="142" t="s">
        <v>5</v>
      </c>
      <c r="H24" s="257">
        <f>' BUDGET 2019-2021 AN 1'!H24+'BUDGET 2019-2021 AN 2'!H24+'BUDGET 2019-2021 AN 3'!H24</f>
        <v>7198.5216547199998</v>
      </c>
      <c r="J24" s="191">
        <f>' BUDGET 2019-2021 AN 1'!J24+'BUDGET 2019-2021 AN 2'!J24+'BUDGET 2019-2021 AN 3'!J24</f>
        <v>264</v>
      </c>
      <c r="K24" s="187" t="str">
        <f t="shared" si="0"/>
        <v>Heure</v>
      </c>
      <c r="L24" s="257">
        <f>' BUDGET 2019-2021 AN 1'!L24+'BUDGET 2019-2021 AN 2'!L24+'BUDGET 2019-2021 AN 3'!L24</f>
        <v>13697.2968</v>
      </c>
      <c r="M24" s="188"/>
      <c r="N24" s="191">
        <f t="shared" si="2"/>
        <v>396</v>
      </c>
      <c r="O24" s="205" t="str">
        <f t="shared" si="1"/>
        <v>Heure</v>
      </c>
      <c r="P24" s="188">
        <f t="shared" si="3"/>
        <v>20895.81845472</v>
      </c>
      <c r="Q24" s="188"/>
      <c r="R24" s="40"/>
    </row>
    <row r="25" spans="1:18" x14ac:dyDescent="0.25">
      <c r="A25" s="40"/>
      <c r="D25" t="s">
        <v>93</v>
      </c>
      <c r="F25" s="5">
        <f>' BUDGET 2019-2021 AN 1'!F25+'BUDGET 2019-2021 AN 2'!F25+'BUDGET 2019-2021 AN 3'!F25</f>
        <v>0</v>
      </c>
      <c r="G25" s="142" t="s">
        <v>94</v>
      </c>
      <c r="H25" s="257">
        <f>' BUDGET 2019-2021 AN 1'!H25+'BUDGET 2019-2021 AN 2'!H25+'BUDGET 2019-2021 AN 3'!H25</f>
        <v>0</v>
      </c>
      <c r="J25" s="191">
        <f>' BUDGET 2019-2021 AN 1'!J25+'BUDGET 2019-2021 AN 2'!J25+'BUDGET 2019-2021 AN 3'!J25</f>
        <v>0</v>
      </c>
      <c r="K25" s="187" t="str">
        <f t="shared" si="0"/>
        <v>Présence</v>
      </c>
      <c r="L25" s="257">
        <f>' BUDGET 2019-2021 AN 1'!L25+'BUDGET 2019-2021 AN 2'!L25+'BUDGET 2019-2021 AN 3'!L25</f>
        <v>0</v>
      </c>
      <c r="M25" s="188"/>
      <c r="N25" s="191">
        <f t="shared" si="2"/>
        <v>0</v>
      </c>
      <c r="O25" s="205" t="str">
        <f t="shared" si="1"/>
        <v>Présence</v>
      </c>
      <c r="P25" s="188">
        <f t="shared" si="3"/>
        <v>0</v>
      </c>
      <c r="Q25" s="188"/>
      <c r="R25" s="40"/>
    </row>
    <row r="26" spans="1:18" x14ac:dyDescent="0.25">
      <c r="A26" s="40"/>
      <c r="C26" s="43"/>
      <c r="D26" s="43"/>
      <c r="E26" s="41"/>
      <c r="F26" s="46"/>
      <c r="G26" s="46"/>
      <c r="J26" s="191"/>
      <c r="K26" s="187"/>
      <c r="L26" s="65"/>
      <c r="M26" s="108"/>
      <c r="N26" s="202"/>
      <c r="O26" s="205"/>
      <c r="P26" s="108"/>
      <c r="Q26" s="108"/>
      <c r="R26" s="40"/>
    </row>
    <row r="27" spans="1:18" x14ac:dyDescent="0.25">
      <c r="A27" s="40"/>
      <c r="F27" s="98"/>
      <c r="H27" s="145"/>
      <c r="I27" s="178"/>
      <c r="J27" s="192"/>
      <c r="K27" s="187"/>
      <c r="L27" s="145"/>
      <c r="M27" s="146"/>
      <c r="N27" s="203"/>
      <c r="O27" s="205"/>
      <c r="P27" s="146"/>
      <c r="Q27" s="146"/>
      <c r="R27" s="40"/>
    </row>
    <row r="28" spans="1:18" ht="15.75" thickBot="1" x14ac:dyDescent="0.3">
      <c r="A28" s="40"/>
      <c r="B28" s="16" t="s">
        <v>14</v>
      </c>
      <c r="C28" s="16"/>
      <c r="D28" s="16"/>
      <c r="E28" s="17"/>
      <c r="F28" s="18"/>
      <c r="G28" s="18"/>
      <c r="H28" s="19">
        <f>SUM(H8:H27)</f>
        <v>126668.28185514256</v>
      </c>
      <c r="I28" s="207">
        <f>H28/H59</f>
        <v>0.79282312508957575</v>
      </c>
      <c r="J28" s="193"/>
      <c r="K28" s="52"/>
      <c r="L28" s="19">
        <f>SUM(L8:L27)</f>
        <v>50629.779213000002</v>
      </c>
      <c r="M28" s="52">
        <f>L28/(H28+L28)</f>
        <v>0.28556307332397168</v>
      </c>
      <c r="N28" s="193"/>
      <c r="O28" s="52"/>
      <c r="P28" s="19">
        <f>SUM(P8:P27)</f>
        <v>177298.06106814256</v>
      </c>
      <c r="Q28" s="52">
        <f>P28/P59</f>
        <v>0.82049482530389817</v>
      </c>
      <c r="R28" s="40"/>
    </row>
    <row r="29" spans="1:18" ht="5.25" customHeight="1" thickTop="1" x14ac:dyDescent="0.25">
      <c r="A29" s="40"/>
      <c r="R29" s="40"/>
    </row>
    <row r="30" spans="1:18" x14ac:dyDescent="0.25">
      <c r="A30" s="40"/>
      <c r="B30" s="20" t="s">
        <v>124</v>
      </c>
      <c r="C30" s="20"/>
      <c r="D30" s="20"/>
      <c r="E30" s="25"/>
      <c r="F30" s="26"/>
      <c r="G30" s="26"/>
      <c r="H30" s="27"/>
      <c r="I30" s="53"/>
      <c r="J30" s="324" t="s">
        <v>106</v>
      </c>
      <c r="K30" s="325"/>
      <c r="L30" s="325"/>
      <c r="M30" s="325"/>
      <c r="N30" s="336" t="s">
        <v>107</v>
      </c>
      <c r="O30" s="337"/>
      <c r="P30" s="337"/>
      <c r="Q30" s="337"/>
      <c r="R30" s="40"/>
    </row>
    <row r="31" spans="1:18" x14ac:dyDescent="0.25">
      <c r="A31" s="40"/>
      <c r="D31" t="str">
        <f>'HYPOTHÈSE $'!B19</f>
        <v>Papeterie</v>
      </c>
      <c r="F31" s="5">
        <f>' BUDGET 2019-2021 AN 1'!F31+'BUDGET 2019-2021 AN 2'!F31+'BUDGET 2019-2021 AN 3'!F31</f>
        <v>0</v>
      </c>
      <c r="H31" s="257">
        <f>' BUDGET 2019-2021 AN 1'!H31+'BUDGET 2019-2021 AN 2'!H31+'BUDGET 2019-2021 AN 3'!H31</f>
        <v>710</v>
      </c>
      <c r="J31" s="191">
        <f>' BUDGET 2019-2021 AN 1'!J31+'BUDGET 2019-2021 AN 2'!J31+'BUDGET 2019-2021 AN 3'!J31</f>
        <v>0</v>
      </c>
      <c r="L31" s="257">
        <f>' BUDGET 2019-2021 AN 1'!L31+'BUDGET 2019-2021 AN 2'!L31+'BUDGET 2019-2021 AN 3'!L31</f>
        <v>0</v>
      </c>
      <c r="N31" s="191">
        <f>' BUDGET 2019-2021 AN 1'!N31+'BUDGET 2019-2021 AN 2'!N31+'BUDGET 2019-2021 AN 3'!N31</f>
        <v>0</v>
      </c>
      <c r="P31" s="257">
        <f>' BUDGET 2019-2021 AN 1'!P31+'BUDGET 2019-2021 AN 2'!P31+'BUDGET 2019-2021 AN 3'!P31</f>
        <v>710</v>
      </c>
      <c r="R31" s="40"/>
    </row>
    <row r="32" spans="1:18" x14ac:dyDescent="0.25">
      <c r="A32" s="40"/>
      <c r="F32" s="5">
        <f>' BUDGET 2019-2021 AN 1'!F32+'BUDGET 2019-2021 AN 2'!F32+'BUDGET 2019-2021 AN 3'!F32</f>
        <v>0</v>
      </c>
      <c r="H32" s="257">
        <f>' BUDGET 2019-2021 AN 1'!H32+'BUDGET 2019-2021 AN 2'!H32+'BUDGET 2019-2021 AN 3'!H32</f>
        <v>0</v>
      </c>
      <c r="J32" s="191">
        <f>' BUDGET 2019-2021 AN 1'!J32+'BUDGET 2019-2021 AN 2'!J32+'BUDGET 2019-2021 AN 3'!J32</f>
        <v>0</v>
      </c>
      <c r="K32" s="179"/>
      <c r="L32" s="257">
        <f>' BUDGET 2019-2021 AN 1'!L32+'BUDGET 2019-2021 AN 2'!L32+'BUDGET 2019-2021 AN 3'!L32</f>
        <v>0</v>
      </c>
      <c r="N32" s="191">
        <f>' BUDGET 2019-2021 AN 1'!N32+'BUDGET 2019-2021 AN 2'!N32+'BUDGET 2019-2021 AN 3'!N32</f>
        <v>0</v>
      </c>
      <c r="O32" s="99"/>
      <c r="P32" s="257">
        <f>' BUDGET 2019-2021 AN 1'!P32+'BUDGET 2019-2021 AN 2'!P32+'BUDGET 2019-2021 AN 3'!P32</f>
        <v>0</v>
      </c>
      <c r="Q32" s="99"/>
      <c r="R32" s="40"/>
    </row>
    <row r="33" spans="1:18" x14ac:dyDescent="0.25">
      <c r="A33" s="40"/>
      <c r="F33" s="5">
        <f>' BUDGET 2019-2021 AN 1'!F33+'BUDGET 2019-2021 AN 2'!F33+'BUDGET 2019-2021 AN 3'!F33</f>
        <v>0</v>
      </c>
      <c r="H33" s="257">
        <f>' BUDGET 2019-2021 AN 1'!H33+'BUDGET 2019-2021 AN 2'!H33+'BUDGET 2019-2021 AN 3'!H33</f>
        <v>0</v>
      </c>
      <c r="J33" s="191">
        <f>' BUDGET 2019-2021 AN 1'!J33+'BUDGET 2019-2021 AN 2'!J33+'BUDGET 2019-2021 AN 3'!J33</f>
        <v>0</v>
      </c>
      <c r="K33" s="180"/>
      <c r="L33" s="257">
        <f>' BUDGET 2019-2021 AN 1'!L33+'BUDGET 2019-2021 AN 2'!L33+'BUDGET 2019-2021 AN 3'!L33</f>
        <v>0</v>
      </c>
      <c r="N33" s="191">
        <f>' BUDGET 2019-2021 AN 1'!N33+'BUDGET 2019-2021 AN 2'!N33+'BUDGET 2019-2021 AN 3'!N33</f>
        <v>0</v>
      </c>
      <c r="O33" s="54"/>
      <c r="P33" s="257">
        <f>' BUDGET 2019-2021 AN 1'!P33+'BUDGET 2019-2021 AN 2'!P33+'BUDGET 2019-2021 AN 3'!P33</f>
        <v>0</v>
      </c>
      <c r="Q33" s="54"/>
      <c r="R33" s="40"/>
    </row>
    <row r="34" spans="1:18" x14ac:dyDescent="0.25">
      <c r="A34" s="40"/>
      <c r="F34" s="5">
        <f>' BUDGET 2019-2021 AN 1'!F34+'BUDGET 2019-2021 AN 2'!F34+'BUDGET 2019-2021 AN 3'!F34</f>
        <v>0</v>
      </c>
      <c r="H34" s="257">
        <f>' BUDGET 2019-2021 AN 1'!H34+'BUDGET 2019-2021 AN 2'!H34+'BUDGET 2019-2021 AN 3'!H34</f>
        <v>0</v>
      </c>
      <c r="J34" s="191">
        <f>' BUDGET 2019-2021 AN 1'!J34+'BUDGET 2019-2021 AN 2'!J34+'BUDGET 2019-2021 AN 3'!J34</f>
        <v>0</v>
      </c>
      <c r="L34" s="257">
        <f>' BUDGET 2019-2021 AN 1'!L34+'BUDGET 2019-2021 AN 2'!L34+'BUDGET 2019-2021 AN 3'!L34</f>
        <v>0</v>
      </c>
      <c r="N34" s="191">
        <f>' BUDGET 2019-2021 AN 1'!N34+'BUDGET 2019-2021 AN 2'!N34+'BUDGET 2019-2021 AN 3'!N34</f>
        <v>0</v>
      </c>
      <c r="P34" s="257">
        <f>' BUDGET 2019-2021 AN 1'!P34+'BUDGET 2019-2021 AN 2'!P34+'BUDGET 2019-2021 AN 3'!P34</f>
        <v>0</v>
      </c>
      <c r="R34" s="40"/>
    </row>
    <row r="35" spans="1:18" x14ac:dyDescent="0.25">
      <c r="A35" s="40"/>
      <c r="F35" s="5">
        <f>' BUDGET 2019-2021 AN 1'!F35+'BUDGET 2019-2021 AN 2'!F35+'BUDGET 2019-2021 AN 3'!F35</f>
        <v>0</v>
      </c>
      <c r="H35" s="257">
        <f>' BUDGET 2019-2021 AN 1'!H35+'BUDGET 2019-2021 AN 2'!H35+'BUDGET 2019-2021 AN 3'!H35</f>
        <v>0</v>
      </c>
      <c r="J35" s="191">
        <f>' BUDGET 2019-2021 AN 1'!J35+'BUDGET 2019-2021 AN 2'!J35+'BUDGET 2019-2021 AN 3'!J35</f>
        <v>0</v>
      </c>
      <c r="L35" s="257">
        <f>' BUDGET 2019-2021 AN 1'!L35+'BUDGET 2019-2021 AN 2'!L35+'BUDGET 2019-2021 AN 3'!L35</f>
        <v>0</v>
      </c>
      <c r="N35" s="191">
        <f>' BUDGET 2019-2021 AN 1'!N35+'BUDGET 2019-2021 AN 2'!N35+'BUDGET 2019-2021 AN 3'!N35</f>
        <v>0</v>
      </c>
      <c r="P35" s="257">
        <f>' BUDGET 2019-2021 AN 1'!P35+'BUDGET 2019-2021 AN 2'!P35+'BUDGET 2019-2021 AN 3'!P35</f>
        <v>0</v>
      </c>
      <c r="R35" s="40"/>
    </row>
    <row r="36" spans="1:18" ht="15.75" thickBot="1" x14ac:dyDescent="0.3">
      <c r="A36" s="40"/>
      <c r="B36" s="16" t="s">
        <v>15</v>
      </c>
      <c r="C36" s="16"/>
      <c r="D36" s="16"/>
      <c r="E36" s="17"/>
      <c r="F36" s="18"/>
      <c r="G36" s="18"/>
      <c r="H36" s="19">
        <f>SUM(H31:H35)</f>
        <v>710</v>
      </c>
      <c r="I36" s="207">
        <f>H36/H59</f>
        <v>4.4439255871279162E-3</v>
      </c>
      <c r="J36" s="193"/>
      <c r="K36" s="181"/>
      <c r="L36" s="19"/>
      <c r="M36" s="207">
        <f>L36/P36</f>
        <v>0</v>
      </c>
      <c r="N36" s="193"/>
      <c r="O36" s="196"/>
      <c r="P36" s="210">
        <f>SUM(P31:P35)</f>
        <v>710</v>
      </c>
      <c r="Q36" s="52">
        <f>P36/P59</f>
        <v>3.2857174097457868E-3</v>
      </c>
      <c r="R36" s="40"/>
    </row>
    <row r="37" spans="1:18" ht="5.25" customHeight="1" thickTop="1" x14ac:dyDescent="0.25">
      <c r="A37" s="40"/>
      <c r="R37" s="40"/>
    </row>
    <row r="38" spans="1:18" x14ac:dyDescent="0.25">
      <c r="A38" s="40"/>
      <c r="B38" s="28" t="s">
        <v>108</v>
      </c>
      <c r="C38" s="28"/>
      <c r="D38" s="28"/>
      <c r="E38" s="29"/>
      <c r="F38" s="30"/>
      <c r="G38" s="30"/>
      <c r="H38" s="31"/>
      <c r="I38" s="55"/>
      <c r="J38" s="324" t="s">
        <v>106</v>
      </c>
      <c r="K38" s="325"/>
      <c r="L38" s="325"/>
      <c r="M38" s="325"/>
      <c r="N38" s="336" t="s">
        <v>107</v>
      </c>
      <c r="O38" s="337"/>
      <c r="P38" s="337"/>
      <c r="Q38" s="337"/>
      <c r="R38" s="40"/>
    </row>
    <row r="39" spans="1:18" x14ac:dyDescent="0.25">
      <c r="A39" s="40"/>
      <c r="C39" s="33" t="s">
        <v>122</v>
      </c>
      <c r="D39" s="33"/>
      <c r="F39" s="42"/>
      <c r="G39" s="42"/>
      <c r="J39" s="191"/>
      <c r="N39" s="191"/>
      <c r="P39" s="6">
        <f t="shared" ref="P39:P46" si="4">H39+L39</f>
        <v>0</v>
      </c>
      <c r="R39" s="40"/>
    </row>
    <row r="40" spans="1:18" x14ac:dyDescent="0.25">
      <c r="A40" s="40"/>
      <c r="C40" s="33"/>
      <c r="D40" s="33" t="str">
        <f>'HYPOTHÈSE $'!B24</f>
        <v>À définir</v>
      </c>
      <c r="F40" s="5">
        <f>' BUDGET 2019-2021 AN 1'!F40+'BUDGET 2019-2021 AN 2'!F40+'BUDGET 2019-2021 AN 3'!F40</f>
        <v>0</v>
      </c>
      <c r="G40" s="42"/>
      <c r="H40" s="257">
        <f>' BUDGET 2019-2021 AN 1'!H40+'BUDGET 2019-2021 AN 2'!H40+'BUDGET 2019-2021 AN 3'!H40</f>
        <v>2000</v>
      </c>
      <c r="J40" s="191">
        <f>' BUDGET 2019-2021 AN 1'!J40+'BUDGET 2019-2021 AN 2'!J40+'BUDGET 2019-2021 AN 3'!J40</f>
        <v>0</v>
      </c>
      <c r="L40" s="257">
        <f>' BUDGET 2019-2021 AN 1'!L40+'BUDGET 2019-2021 AN 2'!L40+'BUDGET 2019-2021 AN 3'!L40</f>
        <v>0</v>
      </c>
      <c r="N40" s="191">
        <f>' BUDGET 2019-2021 AN 1'!N40+'BUDGET 2019-2021 AN 2'!N40+'BUDGET 2019-2021 AN 3'!N40</f>
        <v>0</v>
      </c>
      <c r="P40" s="6">
        <f t="shared" si="4"/>
        <v>2000</v>
      </c>
      <c r="R40" s="40"/>
    </row>
    <row r="41" spans="1:18" x14ac:dyDescent="0.25">
      <c r="A41" s="40"/>
      <c r="C41" s="33"/>
      <c r="D41" s="33" t="str">
        <f>'HYPOTHÈSE $'!B25</f>
        <v>Inscription colloque</v>
      </c>
      <c r="F41" s="5">
        <f>' BUDGET 2019-2021 AN 1'!F41+'BUDGET 2019-2021 AN 2'!F41+'BUDGET 2019-2021 AN 3'!F41</f>
        <v>0</v>
      </c>
      <c r="G41" s="42"/>
      <c r="H41" s="257">
        <f>' BUDGET 2019-2021 AN 1'!H41+'BUDGET 2019-2021 AN 2'!H41+'BUDGET 2019-2021 AN 3'!H41</f>
        <v>1000</v>
      </c>
      <c r="J41" s="191">
        <f>' BUDGET 2019-2021 AN 1'!J41+'BUDGET 2019-2021 AN 2'!J41+'BUDGET 2019-2021 AN 3'!J41</f>
        <v>0</v>
      </c>
      <c r="L41" s="257">
        <f>' BUDGET 2019-2021 AN 1'!L41+'BUDGET 2019-2021 AN 2'!L41+'BUDGET 2019-2021 AN 3'!L41</f>
        <v>0</v>
      </c>
      <c r="N41" s="191">
        <f>' BUDGET 2019-2021 AN 1'!N41+'BUDGET 2019-2021 AN 2'!N41+'BUDGET 2019-2021 AN 3'!N41</f>
        <v>0</v>
      </c>
      <c r="P41" s="6">
        <f t="shared" si="4"/>
        <v>1000</v>
      </c>
      <c r="R41" s="40"/>
    </row>
    <row r="42" spans="1:18" x14ac:dyDescent="0.25">
      <c r="A42" s="40"/>
      <c r="C42" s="33"/>
      <c r="D42" s="33"/>
      <c r="F42" s="5">
        <f>' BUDGET 2019-2021 AN 1'!F42+'BUDGET 2019-2021 AN 2'!F42+'BUDGET 2019-2021 AN 3'!F42</f>
        <v>0</v>
      </c>
      <c r="G42" s="42"/>
      <c r="H42" s="257">
        <f>' BUDGET 2019-2021 AN 1'!H42+'BUDGET 2019-2021 AN 2'!H42+'BUDGET 2019-2021 AN 3'!H42</f>
        <v>0</v>
      </c>
      <c r="J42" s="191">
        <f>' BUDGET 2019-2021 AN 1'!J42+'BUDGET 2019-2021 AN 2'!J42+'BUDGET 2019-2021 AN 3'!J42</f>
        <v>0</v>
      </c>
      <c r="L42" s="257">
        <f>' BUDGET 2019-2021 AN 1'!L42+'BUDGET 2019-2021 AN 2'!L42+'BUDGET 2019-2021 AN 3'!L42</f>
        <v>0</v>
      </c>
      <c r="N42" s="191">
        <f>' BUDGET 2019-2021 AN 1'!N42+'BUDGET 2019-2021 AN 2'!N42+'BUDGET 2019-2021 AN 3'!N42</f>
        <v>0</v>
      </c>
      <c r="P42" s="6">
        <f t="shared" si="4"/>
        <v>0</v>
      </c>
      <c r="R42" s="40"/>
    </row>
    <row r="43" spans="1:18" x14ac:dyDescent="0.25">
      <c r="A43" s="40"/>
      <c r="C43" s="33"/>
      <c r="D43" s="33"/>
      <c r="F43" s="5">
        <f>' BUDGET 2019-2021 AN 1'!F43+'BUDGET 2019-2021 AN 2'!F43+'BUDGET 2019-2021 AN 3'!F43</f>
        <v>0</v>
      </c>
      <c r="G43" s="42"/>
      <c r="H43" s="257">
        <f>' BUDGET 2019-2021 AN 1'!H43+'BUDGET 2019-2021 AN 2'!H43+'BUDGET 2019-2021 AN 3'!H43</f>
        <v>0</v>
      </c>
      <c r="J43" s="191">
        <f>' BUDGET 2019-2021 AN 1'!J43+'BUDGET 2019-2021 AN 2'!J43+'BUDGET 2019-2021 AN 3'!J43</f>
        <v>0</v>
      </c>
      <c r="L43" s="257">
        <f>' BUDGET 2019-2021 AN 1'!L43+'BUDGET 2019-2021 AN 2'!L43+'BUDGET 2019-2021 AN 3'!L43</f>
        <v>0</v>
      </c>
      <c r="N43" s="191">
        <f>' BUDGET 2019-2021 AN 1'!N43+'BUDGET 2019-2021 AN 2'!N43+'BUDGET 2019-2021 AN 3'!N43</f>
        <v>0</v>
      </c>
      <c r="P43" s="6">
        <f t="shared" si="4"/>
        <v>0</v>
      </c>
      <c r="R43" s="40"/>
    </row>
    <row r="44" spans="1:18" x14ac:dyDescent="0.25">
      <c r="A44" s="40"/>
      <c r="C44" s="33"/>
      <c r="D44" s="33"/>
      <c r="F44" s="5">
        <f>' BUDGET 2019-2021 AN 1'!F44+'BUDGET 2019-2021 AN 2'!F44+'BUDGET 2019-2021 AN 3'!F44</f>
        <v>0</v>
      </c>
      <c r="G44" s="42"/>
      <c r="H44" s="257">
        <f>' BUDGET 2019-2021 AN 1'!H44+'BUDGET 2019-2021 AN 2'!H44+'BUDGET 2019-2021 AN 3'!H44</f>
        <v>0</v>
      </c>
      <c r="J44" s="191">
        <f>' BUDGET 2019-2021 AN 1'!J44+'BUDGET 2019-2021 AN 2'!J44+'BUDGET 2019-2021 AN 3'!J44</f>
        <v>0</v>
      </c>
      <c r="K44" s="179"/>
      <c r="L44" s="257">
        <f>' BUDGET 2019-2021 AN 1'!L44+'BUDGET 2019-2021 AN 2'!L44+'BUDGET 2019-2021 AN 3'!L44</f>
        <v>0</v>
      </c>
      <c r="N44" s="191">
        <f>' BUDGET 2019-2021 AN 1'!N44+'BUDGET 2019-2021 AN 2'!N44+'BUDGET 2019-2021 AN 3'!N44</f>
        <v>0</v>
      </c>
      <c r="O44" s="99"/>
      <c r="P44" s="6">
        <f t="shared" si="4"/>
        <v>0</v>
      </c>
      <c r="Q44" s="99"/>
      <c r="R44" s="40"/>
    </row>
    <row r="45" spans="1:18" x14ac:dyDescent="0.25">
      <c r="A45" s="40"/>
      <c r="C45" s="33"/>
      <c r="D45" s="33"/>
      <c r="F45" s="5">
        <f>' BUDGET 2019-2021 AN 1'!F45+'BUDGET 2019-2021 AN 2'!F45+'BUDGET 2019-2021 AN 3'!F45</f>
        <v>0</v>
      </c>
      <c r="G45" s="42"/>
      <c r="H45" s="257">
        <f>' BUDGET 2019-2021 AN 1'!H45+'BUDGET 2019-2021 AN 2'!H45+'BUDGET 2019-2021 AN 3'!H45</f>
        <v>0</v>
      </c>
      <c r="J45" s="191">
        <f>' BUDGET 2019-2021 AN 1'!J45+'BUDGET 2019-2021 AN 2'!J45+'BUDGET 2019-2021 AN 3'!J45</f>
        <v>0</v>
      </c>
      <c r="K45" s="179"/>
      <c r="L45" s="257">
        <f>' BUDGET 2019-2021 AN 1'!L45+'BUDGET 2019-2021 AN 2'!L45+'BUDGET 2019-2021 AN 3'!L45</f>
        <v>0</v>
      </c>
      <c r="N45" s="191">
        <f>' BUDGET 2019-2021 AN 1'!N45+'BUDGET 2019-2021 AN 2'!N45+'BUDGET 2019-2021 AN 3'!N45</f>
        <v>0</v>
      </c>
      <c r="O45" s="99"/>
      <c r="P45" s="6">
        <f t="shared" si="4"/>
        <v>0</v>
      </c>
      <c r="Q45" s="99"/>
      <c r="R45" s="40"/>
    </row>
    <row r="46" spans="1:18" x14ac:dyDescent="0.25">
      <c r="A46" s="40"/>
      <c r="C46" s="33"/>
      <c r="D46" s="33"/>
      <c r="F46" s="5">
        <f>' BUDGET 2019-2021 AN 1'!F46+'BUDGET 2019-2021 AN 2'!F46+'BUDGET 2019-2021 AN 3'!F46</f>
        <v>0</v>
      </c>
      <c r="G46" s="42"/>
      <c r="H46" s="257">
        <f>' BUDGET 2019-2021 AN 1'!H46+'BUDGET 2019-2021 AN 2'!H46+'BUDGET 2019-2021 AN 3'!H46</f>
        <v>0</v>
      </c>
      <c r="J46" s="191">
        <f>' BUDGET 2019-2021 AN 1'!J46+'BUDGET 2019-2021 AN 2'!J46+'BUDGET 2019-2021 AN 3'!J46</f>
        <v>0</v>
      </c>
      <c r="K46" s="179"/>
      <c r="L46" s="257">
        <f>' BUDGET 2019-2021 AN 1'!L46+'BUDGET 2019-2021 AN 2'!L46+'BUDGET 2019-2021 AN 3'!L46</f>
        <v>0</v>
      </c>
      <c r="N46" s="191">
        <f>' BUDGET 2019-2021 AN 1'!N46+'BUDGET 2019-2021 AN 2'!N46+'BUDGET 2019-2021 AN 3'!N46</f>
        <v>0</v>
      </c>
      <c r="O46" s="99"/>
      <c r="P46" s="6">
        <f t="shared" si="4"/>
        <v>0</v>
      </c>
      <c r="Q46" s="99"/>
      <c r="R46" s="40"/>
    </row>
    <row r="47" spans="1:18" ht="15.75" thickBot="1" x14ac:dyDescent="0.3">
      <c r="A47" s="40"/>
      <c r="B47" s="16" t="s">
        <v>14</v>
      </c>
      <c r="C47" s="16"/>
      <c r="D47" s="16"/>
      <c r="E47" s="17"/>
      <c r="F47" s="18"/>
      <c r="G47" s="18"/>
      <c r="H47" s="19">
        <f>SUM(H39:H46)</f>
        <v>3000</v>
      </c>
      <c r="I47" s="207">
        <f>H47/H59</f>
        <v>1.8777150368146124E-2</v>
      </c>
      <c r="J47" s="193"/>
      <c r="K47" s="181"/>
      <c r="L47" s="19"/>
      <c r="M47" s="207">
        <f>L47/H47</f>
        <v>0</v>
      </c>
      <c r="N47" s="193"/>
      <c r="O47" s="196"/>
      <c r="P47" s="210">
        <f>SUM(P39:P46)</f>
        <v>3000</v>
      </c>
      <c r="Q47" s="52">
        <f>P47/P59</f>
        <v>1.3883312998925859E-2</v>
      </c>
      <c r="R47" s="40"/>
    </row>
    <row r="48" spans="1:18" ht="6" customHeight="1" thickTop="1" x14ac:dyDescent="0.25">
      <c r="A48" s="40"/>
      <c r="R48" s="40"/>
    </row>
    <row r="49" spans="1:18" x14ac:dyDescent="0.25">
      <c r="A49" s="40"/>
      <c r="B49" s="28" t="s">
        <v>17</v>
      </c>
      <c r="C49" s="28"/>
      <c r="D49" s="28"/>
      <c r="E49" s="29"/>
      <c r="F49" s="30"/>
      <c r="G49" s="30"/>
      <c r="H49" s="31"/>
      <c r="I49" s="55"/>
      <c r="J49" s="324" t="s">
        <v>106</v>
      </c>
      <c r="K49" s="325"/>
      <c r="L49" s="325"/>
      <c r="M49" s="325"/>
      <c r="N49" s="336" t="s">
        <v>107</v>
      </c>
      <c r="O49" s="337"/>
      <c r="P49" s="337"/>
      <c r="Q49" s="337"/>
      <c r="R49" s="40"/>
    </row>
    <row r="50" spans="1:18" x14ac:dyDescent="0.25">
      <c r="A50" s="40"/>
      <c r="C50" t="str">
        <f>' BUDGET 2019-2021 AN 1'!C50</f>
        <v>Kilométrage et repas</v>
      </c>
      <c r="H50" s="37"/>
      <c r="J50" s="191"/>
      <c r="K50" s="180"/>
      <c r="L50" s="37"/>
      <c r="N50" s="191"/>
      <c r="O50" s="54"/>
      <c r="P50" s="54"/>
      <c r="Q50" s="54"/>
      <c r="R50" s="40"/>
    </row>
    <row r="51" spans="1:18" x14ac:dyDescent="0.25">
      <c r="A51" s="40"/>
      <c r="D51" t="str">
        <f>' BUDGET 2019-2021 AN 1'!D51</f>
        <v>CISSS</v>
      </c>
      <c r="H51" s="257">
        <f>' BUDGET 2019-2021 AN 1'!H51+'BUDGET 2019-2021 AN 2'!H51+'BUDGET 2019-2021 AN 3'!H51</f>
        <v>2851.8099999999995</v>
      </c>
      <c r="J51" s="191"/>
      <c r="K51" s="180"/>
      <c r="L51" s="257">
        <f>' BUDGET 2019-2021 AN 1'!L51+'BUDGET 2019-2021 AN 2'!L51+'BUDGET 2019-2021 AN 3'!L51</f>
        <v>5278.52</v>
      </c>
      <c r="N51" s="191"/>
      <c r="O51" s="54"/>
      <c r="P51" s="257">
        <f>' BUDGET 2019-2021 AN 1'!P51+'BUDGET 2019-2021 AN 2'!P51+'BUDGET 2019-2021 AN 3'!P51</f>
        <v>8130.329999999999</v>
      </c>
      <c r="Q51" s="54"/>
      <c r="R51" s="40"/>
    </row>
    <row r="52" spans="1:18" x14ac:dyDescent="0.25">
      <c r="A52" s="40"/>
      <c r="D52" t="str">
        <f>' BUDGET 2019-2021 AN 1'!D52</f>
        <v>Équijustice EST</v>
      </c>
      <c r="H52" s="257">
        <f>' BUDGET 2019-2021 AN 1'!H52+'BUDGET 2019-2021 AN 2'!H52+'BUDGET 2019-2021 AN 3'!H52</f>
        <v>15007.546666666669</v>
      </c>
      <c r="J52" s="191"/>
      <c r="K52" s="180"/>
      <c r="L52" s="257">
        <f>' BUDGET 2019-2021 AN 1'!L52+'BUDGET 2019-2021 AN 2'!L52+'BUDGET 2019-2021 AN 3'!L52</f>
        <v>409.8</v>
      </c>
      <c r="N52" s="191"/>
      <c r="O52" s="54"/>
      <c r="P52" s="257">
        <f>' BUDGET 2019-2021 AN 1'!P52+'BUDGET 2019-2021 AN 2'!P52+'BUDGET 2019-2021 AN 3'!P52</f>
        <v>15417.346666666668</v>
      </c>
      <c r="Q52" s="54"/>
      <c r="R52" s="40"/>
    </row>
    <row r="53" spans="1:18" x14ac:dyDescent="0.25">
      <c r="A53" s="40"/>
      <c r="D53" t="str">
        <f>' BUDGET 2019-2021 AN 1'!D53</f>
        <v>Équijustice RDL</v>
      </c>
      <c r="H53" s="257">
        <f>' BUDGET 2019-2021 AN 1'!H53+'BUDGET 2019-2021 AN 2'!H53+'BUDGET 2019-2021 AN 3'!H53</f>
        <v>11531.013333333334</v>
      </c>
      <c r="J53" s="191"/>
      <c r="K53" s="180"/>
      <c r="L53" s="257">
        <f>' BUDGET 2019-2021 AN 1'!L53+'BUDGET 2019-2021 AN 2'!L53+'BUDGET 2019-2021 AN 3'!L53</f>
        <v>0</v>
      </c>
      <c r="N53" s="191"/>
      <c r="O53" s="54"/>
      <c r="P53" s="257">
        <f>' BUDGET 2019-2021 AN 1'!P53+'BUDGET 2019-2021 AN 2'!P53+'BUDGET 2019-2021 AN 3'!P53</f>
        <v>11531.013333333334</v>
      </c>
      <c r="Q53" s="54"/>
      <c r="R53" s="40"/>
    </row>
    <row r="54" spans="1:18" x14ac:dyDescent="0.25">
      <c r="A54" s="40"/>
      <c r="J54" s="191"/>
      <c r="N54" s="191"/>
      <c r="R54" s="40"/>
    </row>
    <row r="55" spans="1:18" ht="15.75" thickBot="1" x14ac:dyDescent="0.3">
      <c r="A55" s="40"/>
      <c r="B55" s="16" t="s">
        <v>14</v>
      </c>
      <c r="C55" s="16"/>
      <c r="D55" s="16"/>
      <c r="E55" s="17"/>
      <c r="F55" s="18"/>
      <c r="G55" s="18"/>
      <c r="H55" s="19">
        <f>SUM(H50:H54)</f>
        <v>29390.370000000003</v>
      </c>
      <c r="I55" s="207">
        <f>H55/H59</f>
        <v>0.1839557989551503</v>
      </c>
      <c r="J55" s="193"/>
      <c r="K55" s="181"/>
      <c r="L55" s="19">
        <f>SUM(L50:L54)</f>
        <v>5688.3200000000006</v>
      </c>
      <c r="M55" s="207">
        <f>L55/H55</f>
        <v>0.19354366753463806</v>
      </c>
      <c r="N55" s="193"/>
      <c r="O55" s="196"/>
      <c r="P55" s="19">
        <f>SUM(P50:P54)</f>
        <v>35078.69</v>
      </c>
      <c r="Q55" s="52">
        <f>P55/P59</f>
        <v>0.16233614428743021</v>
      </c>
      <c r="R55" s="40"/>
    </row>
    <row r="56" spans="1:18" ht="6" customHeight="1" thickTop="1" x14ac:dyDescent="0.25">
      <c r="A56" s="40"/>
      <c r="B56" s="73"/>
      <c r="C56" s="73"/>
      <c r="D56" s="73"/>
      <c r="E56" s="74"/>
      <c r="F56" s="75"/>
      <c r="G56" s="75"/>
      <c r="H56" s="76"/>
      <c r="I56" s="182"/>
      <c r="J56" s="197"/>
      <c r="K56" s="182"/>
      <c r="L56" s="76"/>
      <c r="M56" s="77"/>
      <c r="N56" s="77"/>
      <c r="O56" s="77"/>
      <c r="P56" s="77"/>
      <c r="Q56" s="77"/>
      <c r="R56" s="40"/>
    </row>
    <row r="57" spans="1:18" x14ac:dyDescent="0.25">
      <c r="A57" s="40"/>
      <c r="B57" s="79" t="s">
        <v>28</v>
      </c>
      <c r="C57" s="79"/>
      <c r="D57" s="79"/>
      <c r="E57" s="80"/>
      <c r="F57" s="81"/>
      <c r="G57" s="81"/>
      <c r="H57" s="82">
        <f>' BUDGET 2019-2021 AN 1'!H57+'BUDGET 2019-2021 AN 2'!H57+'BUDGET 2019-2021 AN 3'!H57</f>
        <v>9768.6518551425761</v>
      </c>
      <c r="I57" s="183"/>
      <c r="J57" s="198"/>
      <c r="K57" s="183"/>
      <c r="L57" s="82"/>
      <c r="M57" s="83"/>
      <c r="N57" s="83"/>
      <c r="O57" s="83"/>
      <c r="P57" s="83"/>
      <c r="Q57" s="83"/>
      <c r="R57" s="40"/>
    </row>
    <row r="58" spans="1:18" ht="5.25" customHeight="1" x14ac:dyDescent="0.25">
      <c r="A58" s="40"/>
      <c r="R58" s="40"/>
    </row>
    <row r="59" spans="1:18" ht="19.5" thickBot="1" x14ac:dyDescent="0.35">
      <c r="A59" s="40"/>
      <c r="B59" s="338" t="s">
        <v>132</v>
      </c>
      <c r="C59" s="338"/>
      <c r="D59" s="338"/>
      <c r="E59" s="338"/>
      <c r="F59" s="338"/>
      <c r="G59" s="338"/>
      <c r="H59" s="253">
        <f>H55+H47+H36+H28</f>
        <v>159768.65185514255</v>
      </c>
      <c r="I59" s="254"/>
      <c r="J59" s="255"/>
      <c r="K59" s="254"/>
      <c r="L59" s="253">
        <f>L55+L47+L36+L28</f>
        <v>56318.099213000001</v>
      </c>
      <c r="M59" s="256">
        <f>L59/H59</f>
        <v>0.35249780579022433</v>
      </c>
      <c r="N59" s="254"/>
      <c r="O59" s="254"/>
      <c r="P59" s="253">
        <f>P55+P47+P36+P28</f>
        <v>216086.75106814256</v>
      </c>
      <c r="Q59" s="256"/>
      <c r="R59" s="40"/>
    </row>
    <row r="60" spans="1:18" ht="7.5" customHeight="1" x14ac:dyDescent="0.25">
      <c r="D60" s="87"/>
      <c r="E60" s="321"/>
      <c r="F60" s="321"/>
      <c r="G60" s="321"/>
    </row>
    <row r="61" spans="1:18" x14ac:dyDescent="0.25">
      <c r="A61" s="101"/>
      <c r="H61" s="118"/>
      <c r="I61" s="118"/>
      <c r="J61" s="201"/>
      <c r="K61" s="118"/>
      <c r="L61" s="118"/>
      <c r="M61" s="118"/>
      <c r="N61" s="118"/>
      <c r="O61" s="118"/>
      <c r="P61" s="118"/>
      <c r="Q61" s="118"/>
      <c r="R61" s="101"/>
    </row>
    <row r="62" spans="1:18" x14ac:dyDescent="0.25">
      <c r="A62" s="101"/>
      <c r="H62" s="118"/>
      <c r="I62" s="118"/>
      <c r="J62" s="201"/>
      <c r="K62" s="118"/>
      <c r="L62" s="118"/>
      <c r="M62" s="118"/>
      <c r="N62" s="118"/>
      <c r="O62" s="118"/>
      <c r="P62" s="118"/>
      <c r="Q62" s="118"/>
      <c r="R62" s="101"/>
    </row>
    <row r="63" spans="1:18" x14ac:dyDescent="0.25">
      <c r="A63" s="101"/>
      <c r="H63" s="118"/>
      <c r="I63" s="118"/>
      <c r="J63" s="201"/>
      <c r="K63" s="118"/>
      <c r="L63" s="118"/>
      <c r="M63" s="118"/>
      <c r="N63" s="118"/>
      <c r="O63" s="118"/>
      <c r="P63" s="118"/>
      <c r="Q63" s="118"/>
      <c r="R63" s="101"/>
    </row>
    <row r="64" spans="1:18" x14ac:dyDescent="0.25">
      <c r="A64" s="101"/>
      <c r="B64" s="89"/>
      <c r="H64" s="118"/>
      <c r="I64" s="118"/>
      <c r="J64" s="201"/>
      <c r="K64" s="118"/>
      <c r="L64" s="118"/>
      <c r="M64" s="118"/>
      <c r="N64" s="118"/>
      <c r="O64" s="118"/>
      <c r="P64" s="118"/>
      <c r="Q64" s="118"/>
      <c r="R64" s="101"/>
    </row>
    <row r="65" spans="1:18" x14ac:dyDescent="0.25">
      <c r="A65" s="101"/>
      <c r="H65" s="118"/>
      <c r="I65" s="118"/>
      <c r="J65" s="201"/>
      <c r="K65" s="118"/>
      <c r="L65" s="118"/>
      <c r="M65" s="118"/>
      <c r="N65" s="118"/>
      <c r="O65" s="118"/>
      <c r="P65" s="118"/>
      <c r="Q65" s="118"/>
      <c r="R65" s="101"/>
    </row>
    <row r="66" spans="1:18" x14ac:dyDescent="0.25">
      <c r="A66" s="101"/>
      <c r="H66" s="118"/>
      <c r="I66" s="118"/>
      <c r="J66" s="201"/>
      <c r="K66" s="118"/>
      <c r="L66" s="118"/>
      <c r="M66" s="118"/>
      <c r="N66" s="118"/>
      <c r="O66" s="118"/>
      <c r="P66" s="118"/>
      <c r="Q66" s="118"/>
      <c r="R66" s="101"/>
    </row>
    <row r="67" spans="1:18" x14ac:dyDescent="0.25">
      <c r="A67" s="101"/>
      <c r="H67" s="118"/>
      <c r="I67" s="118"/>
      <c r="J67" s="201"/>
      <c r="K67" s="118"/>
      <c r="L67" s="118"/>
      <c r="M67" s="118"/>
      <c r="N67" s="118"/>
      <c r="O67" s="118"/>
      <c r="P67" s="118"/>
      <c r="Q67" s="118"/>
      <c r="R67" s="101"/>
    </row>
    <row r="68" spans="1:18" x14ac:dyDescent="0.25">
      <c r="A68" s="101"/>
      <c r="H68" s="118"/>
      <c r="I68" s="118"/>
      <c r="J68" s="201"/>
      <c r="K68" s="118"/>
      <c r="L68" s="118"/>
      <c r="M68" s="118"/>
      <c r="N68" s="118"/>
      <c r="O68" s="118"/>
      <c r="P68" s="118"/>
      <c r="Q68" s="118"/>
      <c r="R68" s="101"/>
    </row>
  </sheetData>
  <mergeCells count="14">
    <mergeCell ref="B59:G59"/>
    <mergeCell ref="E60:G60"/>
    <mergeCell ref="J30:M30"/>
    <mergeCell ref="N30:Q30"/>
    <mergeCell ref="J38:M38"/>
    <mergeCell ref="N38:Q38"/>
    <mergeCell ref="J49:M49"/>
    <mergeCell ref="N49:Q49"/>
    <mergeCell ref="A1:R1"/>
    <mergeCell ref="A2:R2"/>
    <mergeCell ref="B4:Q4"/>
    <mergeCell ref="B5:D5"/>
    <mergeCell ref="J6:M6"/>
    <mergeCell ref="N6:Q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69"/>
  <sheetViews>
    <sheetView workbookViewId="0">
      <selection activeCell="E49" sqref="E49"/>
    </sheetView>
  </sheetViews>
  <sheetFormatPr baseColWidth="10" defaultRowHeight="15" x14ac:dyDescent="0.25"/>
  <cols>
    <col min="1" max="3" width="1.28515625" customWidth="1"/>
    <col min="4" max="4" width="30.7109375" customWidth="1"/>
    <col min="5" max="5" width="4.28515625" customWidth="1"/>
    <col min="6" max="6" width="5.28515625" customWidth="1"/>
    <col min="7" max="7" width="11.140625" customWidth="1"/>
    <col min="8" max="8" width="16.85546875" customWidth="1"/>
    <col min="9" max="9" width="6.42578125" customWidth="1"/>
    <col min="10" max="10" width="1.7109375" customWidth="1"/>
    <col min="11" max="11" width="5" customWidth="1"/>
    <col min="12" max="12" width="17.85546875" style="1" customWidth="1"/>
    <col min="13" max="13" width="5.140625" customWidth="1"/>
    <col min="14" max="14" width="18.85546875" customWidth="1"/>
    <col min="15" max="15" width="6" customWidth="1"/>
    <col min="16" max="16" width="1.7109375" customWidth="1"/>
  </cols>
  <sheetData>
    <row r="1" spans="1:16" ht="42" customHeight="1" x14ac:dyDescent="0.25">
      <c r="A1" s="138" t="str">
        <f>NOTES!A1</f>
        <v>PROJET NOVATEUR (APPEL DE PROPOSITIONS 2017): 
CISSS/BSL UNE VOIE PARTAGÉE / ADOLESCENTS - VICTIMES</v>
      </c>
      <c r="B1" s="138"/>
      <c r="C1" s="138"/>
      <c r="D1" s="339" t="str">
        <f>NOTES!A1</f>
        <v>PROJET NOVATEUR (APPEL DE PROPOSITIONS 2017): 
CISSS/BSL UNE VOIE PARTAGÉE / ADOLESCENTS - VICTIMES</v>
      </c>
      <c r="E1" s="339"/>
      <c r="F1" s="339"/>
      <c r="G1" s="339"/>
      <c r="H1" s="339"/>
      <c r="I1" s="339"/>
      <c r="J1" s="339"/>
      <c r="K1" s="339"/>
      <c r="L1" s="339"/>
      <c r="M1" s="339"/>
      <c r="N1" s="339"/>
      <c r="O1" s="339"/>
      <c r="P1" s="339"/>
    </row>
    <row r="2" spans="1:16" ht="18.75" customHeight="1" x14ac:dyDescent="0.25">
      <c r="A2" s="138"/>
      <c r="B2" s="138"/>
      <c r="C2" s="138"/>
      <c r="D2" s="339"/>
      <c r="E2" s="339"/>
      <c r="F2" s="339"/>
      <c r="G2" s="339"/>
      <c r="H2" s="339"/>
      <c r="I2" s="339"/>
      <c r="J2" s="339"/>
      <c r="K2" s="339"/>
      <c r="L2" s="339"/>
      <c r="M2" s="339"/>
      <c r="N2" s="339"/>
      <c r="O2" s="339"/>
      <c r="P2" s="339"/>
    </row>
    <row r="3" spans="1:16" ht="8.25" customHeight="1" x14ac:dyDescent="0.25">
      <c r="J3" s="103"/>
      <c r="K3" s="103"/>
      <c r="L3" s="104"/>
      <c r="M3" s="103"/>
      <c r="N3" s="103"/>
      <c r="O3" s="103"/>
      <c r="P3" s="103"/>
    </row>
    <row r="4" spans="1:16" ht="21.75" thickBot="1" x14ac:dyDescent="0.4">
      <c r="A4" s="38"/>
      <c r="B4" s="343" t="s">
        <v>113</v>
      </c>
      <c r="C4" s="343"/>
      <c r="D4" s="343"/>
      <c r="E4" s="343"/>
      <c r="F4" s="343"/>
      <c r="G4" s="343"/>
      <c r="H4" s="343"/>
      <c r="I4" s="343"/>
      <c r="J4" s="103"/>
      <c r="K4" s="342" t="s">
        <v>32</v>
      </c>
      <c r="L4" s="342"/>
      <c r="M4" s="344"/>
      <c r="N4" s="341" t="s">
        <v>40</v>
      </c>
      <c r="O4" s="342"/>
      <c r="P4" s="103"/>
    </row>
    <row r="5" spans="1:16" x14ac:dyDescent="0.25">
      <c r="A5" s="39"/>
      <c r="B5" s="328" t="s">
        <v>8</v>
      </c>
      <c r="C5" s="328"/>
      <c r="D5" s="328"/>
      <c r="E5" s="12" t="s">
        <v>9</v>
      </c>
      <c r="F5" s="86" t="s">
        <v>10</v>
      </c>
      <c r="G5" s="86" t="s">
        <v>11</v>
      </c>
      <c r="H5" s="14" t="s">
        <v>1</v>
      </c>
      <c r="I5" s="14"/>
      <c r="J5" s="103"/>
      <c r="K5" s="126" t="s">
        <v>39</v>
      </c>
      <c r="L5" s="14" t="s">
        <v>1</v>
      </c>
      <c r="M5" s="14" t="s">
        <v>33</v>
      </c>
      <c r="N5" s="111" t="s">
        <v>1</v>
      </c>
      <c r="O5" s="112" t="s">
        <v>33</v>
      </c>
      <c r="P5" s="103"/>
    </row>
    <row r="6" spans="1:16" x14ac:dyDescent="0.25">
      <c r="A6" s="40"/>
      <c r="B6" s="20" t="s">
        <v>12</v>
      </c>
      <c r="C6" s="21"/>
      <c r="D6" s="21"/>
      <c r="E6" s="22"/>
      <c r="F6" s="23"/>
      <c r="G6" s="23"/>
      <c r="H6" s="24"/>
      <c r="I6" s="50"/>
      <c r="J6" s="103"/>
      <c r="K6" s="97"/>
      <c r="L6" s="97"/>
      <c r="M6" s="102"/>
      <c r="N6" s="106"/>
      <c r="O6" s="107"/>
      <c r="P6" s="103"/>
    </row>
    <row r="7" spans="1:16" x14ac:dyDescent="0.25">
      <c r="A7" s="40"/>
      <c r="C7" s="43" t="s">
        <v>0</v>
      </c>
      <c r="D7" s="43"/>
      <c r="E7" s="44"/>
      <c r="F7" s="127"/>
      <c r="G7" s="45"/>
      <c r="H7" s="1"/>
      <c r="I7" s="51"/>
      <c r="J7" s="103"/>
      <c r="K7" s="128"/>
      <c r="L7" s="45"/>
      <c r="M7" s="51" t="e">
        <f>(L8+L9)/L23</f>
        <v>#DIV/0!</v>
      </c>
      <c r="N7" s="45"/>
      <c r="O7" s="108" t="e">
        <f>M7-I7</f>
        <v>#DIV/0!</v>
      </c>
      <c r="P7" s="103"/>
    </row>
    <row r="8" spans="1:16" x14ac:dyDescent="0.25">
      <c r="A8" s="40"/>
      <c r="E8" s="13"/>
      <c r="F8" s="121"/>
      <c r="G8" s="5" t="s">
        <v>2</v>
      </c>
      <c r="H8" s="1"/>
      <c r="I8" s="116"/>
      <c r="J8" s="103"/>
      <c r="K8" s="125"/>
      <c r="N8" s="114"/>
      <c r="O8" s="67"/>
      <c r="P8" s="103"/>
    </row>
    <row r="9" spans="1:16" x14ac:dyDescent="0.25">
      <c r="A9" s="40"/>
      <c r="E9" s="13"/>
      <c r="F9" s="121"/>
      <c r="G9" s="5" t="s">
        <v>2</v>
      </c>
      <c r="H9" s="1"/>
      <c r="I9" s="116"/>
      <c r="J9" s="103"/>
      <c r="K9" s="125"/>
      <c r="N9" s="114"/>
      <c r="O9" s="67"/>
      <c r="P9" s="103"/>
    </row>
    <row r="10" spans="1:16" x14ac:dyDescent="0.25">
      <c r="A10" s="40"/>
      <c r="C10" s="43"/>
      <c r="D10" s="43"/>
      <c r="E10" s="44"/>
      <c r="F10" s="127"/>
      <c r="G10" s="46"/>
      <c r="H10" s="1"/>
      <c r="I10" s="51"/>
      <c r="J10" s="103"/>
      <c r="K10" s="129"/>
      <c r="L10" s="46"/>
      <c r="M10" s="133"/>
      <c r="N10" s="46"/>
      <c r="O10" s="108"/>
      <c r="P10" s="103"/>
    </row>
    <row r="11" spans="1:16" x14ac:dyDescent="0.25">
      <c r="A11" s="40"/>
      <c r="B11" s="90"/>
      <c r="E11" s="11"/>
      <c r="F11" s="88"/>
      <c r="G11" s="5" t="s">
        <v>5</v>
      </c>
      <c r="H11" s="117"/>
      <c r="I11" s="116"/>
      <c r="J11" s="103"/>
      <c r="K11" s="125"/>
      <c r="N11" s="114"/>
      <c r="O11" s="67"/>
      <c r="P11" s="103"/>
    </row>
    <row r="12" spans="1:16" x14ac:dyDescent="0.25">
      <c r="A12" s="40"/>
      <c r="E12" s="11"/>
      <c r="F12" s="88"/>
      <c r="G12" s="5" t="s">
        <v>5</v>
      </c>
      <c r="H12" s="117"/>
      <c r="I12" s="116"/>
      <c r="J12" s="103"/>
      <c r="K12" s="125"/>
      <c r="N12" s="114"/>
      <c r="O12" s="67"/>
      <c r="P12" s="103"/>
    </row>
    <row r="13" spans="1:16" x14ac:dyDescent="0.25">
      <c r="A13" s="40"/>
      <c r="E13" s="11"/>
      <c r="F13" s="88"/>
      <c r="G13" s="5" t="s">
        <v>5</v>
      </c>
      <c r="H13" s="117"/>
      <c r="I13" s="116"/>
      <c r="J13" s="103"/>
      <c r="K13" s="125"/>
      <c r="N13" s="114"/>
      <c r="O13" s="67"/>
      <c r="P13" s="103"/>
    </row>
    <row r="14" spans="1:16" x14ac:dyDescent="0.25">
      <c r="A14" s="40"/>
      <c r="E14" s="11"/>
      <c r="F14" s="45"/>
      <c r="G14" s="5"/>
      <c r="H14" s="1"/>
      <c r="I14" s="116"/>
      <c r="J14" s="103"/>
      <c r="K14" s="125"/>
      <c r="N14" s="114"/>
      <c r="O14" s="67"/>
      <c r="P14" s="103"/>
    </row>
    <row r="15" spans="1:16" x14ac:dyDescent="0.25">
      <c r="A15" s="40"/>
      <c r="E15" s="11"/>
      <c r="F15" s="45"/>
      <c r="G15" s="3"/>
      <c r="H15" s="1"/>
      <c r="I15" s="116"/>
      <c r="J15" s="103"/>
      <c r="K15" s="125"/>
      <c r="N15" s="114"/>
      <c r="O15" s="67"/>
      <c r="P15" s="103"/>
    </row>
    <row r="16" spans="1:16" x14ac:dyDescent="0.25">
      <c r="A16" s="40"/>
      <c r="C16" s="47"/>
      <c r="D16" s="47"/>
      <c r="E16" s="57"/>
      <c r="F16" s="130"/>
      <c r="G16" s="3"/>
      <c r="H16" s="1"/>
      <c r="I16" s="116"/>
      <c r="J16" s="103"/>
      <c r="K16" s="125"/>
      <c r="N16" s="114"/>
      <c r="O16" s="67"/>
      <c r="P16" s="103"/>
    </row>
    <row r="17" spans="1:16" x14ac:dyDescent="0.25">
      <c r="A17" s="40"/>
      <c r="E17" s="11"/>
      <c r="F17" s="45"/>
      <c r="G17" s="3"/>
      <c r="H17" s="1"/>
      <c r="I17" s="116"/>
      <c r="J17" s="103"/>
      <c r="K17" s="125"/>
      <c r="N17" s="114"/>
      <c r="O17" s="67"/>
      <c r="P17" s="103"/>
    </row>
    <row r="18" spans="1:16" x14ac:dyDescent="0.25">
      <c r="A18" s="40"/>
      <c r="E18" s="11"/>
      <c r="F18" s="45"/>
      <c r="G18" s="3"/>
      <c r="H18" s="1"/>
      <c r="I18" s="116"/>
      <c r="J18" s="103"/>
      <c r="K18" s="125"/>
      <c r="N18" s="114"/>
      <c r="O18" s="67"/>
      <c r="P18" s="103"/>
    </row>
    <row r="19" spans="1:16" x14ac:dyDescent="0.25">
      <c r="A19" s="40"/>
      <c r="E19" s="11"/>
      <c r="F19" s="45"/>
      <c r="G19" s="3"/>
      <c r="H19" s="1"/>
      <c r="I19" s="116"/>
      <c r="J19" s="103"/>
      <c r="K19" s="125"/>
      <c r="N19" s="114"/>
      <c r="O19" s="67"/>
      <c r="P19" s="103"/>
    </row>
    <row r="20" spans="1:16" x14ac:dyDescent="0.25">
      <c r="A20" s="40"/>
      <c r="E20" s="11"/>
      <c r="F20" s="45"/>
      <c r="G20" s="3"/>
      <c r="H20" s="1"/>
      <c r="I20" s="116"/>
      <c r="J20" s="103"/>
      <c r="K20" s="125"/>
      <c r="N20" s="114"/>
      <c r="O20" s="67"/>
      <c r="P20" s="103"/>
    </row>
    <row r="21" spans="1:16" x14ac:dyDescent="0.25">
      <c r="A21" s="40"/>
      <c r="C21" s="43"/>
      <c r="D21" s="43"/>
      <c r="E21" s="41"/>
      <c r="F21" s="127"/>
      <c r="G21" s="46"/>
      <c r="H21" s="1"/>
      <c r="I21" s="51"/>
      <c r="J21" s="103"/>
      <c r="K21" s="127"/>
      <c r="L21" s="46"/>
      <c r="M21" s="133"/>
      <c r="N21" s="46"/>
      <c r="O21" s="108"/>
      <c r="P21" s="103"/>
    </row>
    <row r="22" spans="1:16" x14ac:dyDescent="0.25">
      <c r="A22" s="40"/>
      <c r="D22" s="1"/>
      <c r="E22" s="11"/>
      <c r="F22" s="122"/>
      <c r="G22" s="3"/>
      <c r="H22" s="117"/>
      <c r="I22" s="116"/>
      <c r="J22" s="103"/>
      <c r="K22" s="125"/>
      <c r="N22" s="114"/>
      <c r="O22" s="67"/>
      <c r="P22" s="103"/>
    </row>
    <row r="23" spans="1:16" ht="15.75" thickBot="1" x14ac:dyDescent="0.3">
      <c r="A23" s="40"/>
      <c r="B23" s="16" t="s">
        <v>14</v>
      </c>
      <c r="C23" s="16"/>
      <c r="D23" s="16"/>
      <c r="E23" s="17"/>
      <c r="F23" s="18"/>
      <c r="G23" s="18"/>
      <c r="H23" s="19">
        <f>SUM(H8:H22)</f>
        <v>0</v>
      </c>
      <c r="I23" s="52" t="e">
        <f>H23/H52</f>
        <v>#DIV/0!</v>
      </c>
      <c r="J23" s="103"/>
      <c r="K23" s="19"/>
      <c r="L23" s="19">
        <f>SUM(L8:L22)</f>
        <v>0</v>
      </c>
      <c r="M23" s="52" t="e">
        <f>L23/L52</f>
        <v>#DIV/0!</v>
      </c>
      <c r="N23" s="115">
        <f>L23-H23</f>
        <v>0</v>
      </c>
      <c r="O23" s="110" t="e">
        <f>M23-I23</f>
        <v>#DIV/0!</v>
      </c>
      <c r="P23" s="103"/>
    </row>
    <row r="24" spans="1:16" ht="5.25" customHeight="1" thickTop="1" x14ac:dyDescent="0.25">
      <c r="A24" s="40"/>
      <c r="E24" s="11"/>
      <c r="F24" s="3"/>
      <c r="G24" s="3"/>
      <c r="H24" s="1"/>
      <c r="I24" s="6"/>
      <c r="J24" s="103"/>
      <c r="K24" s="1"/>
      <c r="N24" s="105"/>
      <c r="O24" s="67"/>
      <c r="P24" s="103"/>
    </row>
    <row r="25" spans="1:16" x14ac:dyDescent="0.25">
      <c r="A25" s="40"/>
      <c r="B25" s="20" t="s">
        <v>13</v>
      </c>
      <c r="C25" s="20"/>
      <c r="D25" s="20"/>
      <c r="E25" s="25"/>
      <c r="F25" s="26"/>
      <c r="G25" s="26"/>
      <c r="H25" s="27"/>
      <c r="I25" s="53"/>
      <c r="J25" s="103"/>
      <c r="K25" s="97"/>
      <c r="L25" s="97"/>
      <c r="M25" s="102"/>
      <c r="N25" s="106"/>
      <c r="O25" s="107"/>
      <c r="P25" s="103"/>
    </row>
    <row r="26" spans="1:16" x14ac:dyDescent="0.25">
      <c r="A26" s="40"/>
      <c r="E26" s="11"/>
      <c r="F26" s="121"/>
      <c r="G26" s="3"/>
      <c r="H26" s="37"/>
      <c r="I26" s="116"/>
      <c r="J26" s="103"/>
      <c r="K26" s="125"/>
      <c r="N26" s="114">
        <f t="shared" ref="N26:N30" si="0">L26-H26</f>
        <v>0</v>
      </c>
      <c r="O26" s="67"/>
      <c r="P26" s="103"/>
    </row>
    <row r="27" spans="1:16" x14ac:dyDescent="0.25">
      <c r="A27" s="40"/>
      <c r="E27" s="11"/>
      <c r="F27" s="88"/>
      <c r="G27" s="3"/>
      <c r="H27" s="117"/>
      <c r="I27" s="116"/>
      <c r="J27" s="103"/>
      <c r="K27" s="124"/>
      <c r="N27" s="114">
        <f t="shared" si="0"/>
        <v>0</v>
      </c>
      <c r="O27" s="67"/>
      <c r="P27" s="103"/>
    </row>
    <row r="28" spans="1:16" x14ac:dyDescent="0.25">
      <c r="A28" s="40"/>
      <c r="E28" s="11"/>
      <c r="F28" s="121"/>
      <c r="G28" s="3"/>
      <c r="H28" s="37"/>
      <c r="I28" s="116"/>
      <c r="J28" s="103"/>
      <c r="K28" s="125"/>
      <c r="N28" s="114">
        <f t="shared" si="0"/>
        <v>0</v>
      </c>
      <c r="O28" s="67"/>
      <c r="P28" s="103"/>
    </row>
    <row r="29" spans="1:16" x14ac:dyDescent="0.25">
      <c r="A29" s="40"/>
      <c r="E29" s="11"/>
      <c r="F29" s="121"/>
      <c r="G29" s="3"/>
      <c r="H29" s="37"/>
      <c r="I29" s="116"/>
      <c r="J29" s="103"/>
      <c r="K29" s="125"/>
      <c r="N29" s="114">
        <f t="shared" si="0"/>
        <v>0</v>
      </c>
      <c r="O29" s="67"/>
      <c r="P29" s="103"/>
    </row>
    <row r="30" spans="1:16" x14ac:dyDescent="0.25">
      <c r="A30" s="40"/>
      <c r="E30" s="11"/>
      <c r="F30" s="121"/>
      <c r="G30" s="3"/>
      <c r="H30" s="37"/>
      <c r="I30" s="116"/>
      <c r="J30" s="103"/>
      <c r="K30" s="125"/>
      <c r="N30" s="114">
        <f t="shared" si="0"/>
        <v>0</v>
      </c>
      <c r="O30" s="67"/>
      <c r="P30" s="103"/>
    </row>
    <row r="31" spans="1:16" ht="15.75" thickBot="1" x14ac:dyDescent="0.3">
      <c r="A31" s="40"/>
      <c r="B31" s="16" t="s">
        <v>15</v>
      </c>
      <c r="C31" s="16"/>
      <c r="D31" s="16"/>
      <c r="E31" s="17"/>
      <c r="F31" s="18"/>
      <c r="G31" s="18"/>
      <c r="H31" s="19">
        <f>SUM(H26:H30)</f>
        <v>0</v>
      </c>
      <c r="I31" s="52" t="e">
        <f>H31/H52</f>
        <v>#DIV/0!</v>
      </c>
      <c r="J31" s="103"/>
      <c r="K31" s="113"/>
      <c r="L31" s="113">
        <f>SUM(L26:L30)</f>
        <v>0</v>
      </c>
      <c r="M31" s="52" t="e">
        <f>L31/L52</f>
        <v>#DIV/0!</v>
      </c>
      <c r="N31" s="115">
        <f>L31-H31</f>
        <v>0</v>
      </c>
      <c r="O31" s="110" t="e">
        <f>M31-I31</f>
        <v>#DIV/0!</v>
      </c>
      <c r="P31" s="103"/>
    </row>
    <row r="32" spans="1:16" ht="5.25" customHeight="1" thickTop="1" x14ac:dyDescent="0.25">
      <c r="A32" s="40"/>
      <c r="E32" s="11"/>
      <c r="F32" s="3"/>
      <c r="G32" s="3"/>
      <c r="H32" s="1"/>
      <c r="I32" s="6"/>
      <c r="J32" s="103"/>
      <c r="K32" s="1"/>
      <c r="N32" s="105"/>
      <c r="O32" s="67"/>
      <c r="P32" s="103"/>
    </row>
    <row r="33" spans="1:16" x14ac:dyDescent="0.25">
      <c r="A33" s="40"/>
      <c r="B33" s="28" t="s">
        <v>16</v>
      </c>
      <c r="C33" s="28"/>
      <c r="D33" s="28"/>
      <c r="E33" s="29"/>
      <c r="F33" s="30"/>
      <c r="G33" s="30"/>
      <c r="H33" s="31"/>
      <c r="I33" s="55"/>
      <c r="J33" s="103"/>
      <c r="K33" s="97"/>
      <c r="L33" s="97"/>
      <c r="M33" s="102"/>
      <c r="N33" s="106"/>
      <c r="O33" s="107"/>
      <c r="P33" s="103"/>
    </row>
    <row r="34" spans="1:16" x14ac:dyDescent="0.25">
      <c r="A34" s="40"/>
      <c r="E34" s="11"/>
      <c r="F34" s="3"/>
      <c r="G34" s="3"/>
      <c r="H34" s="37"/>
      <c r="I34" s="116" t="str">
        <f>IF(' BUDGET 2019-2021 AN 1'!M39="","",' BUDGET 2019-2021 AN 1'!M39)</f>
        <v/>
      </c>
      <c r="J34" s="103"/>
      <c r="K34" s="125"/>
      <c r="N34" s="114">
        <f t="shared" ref="N34:N41" si="1">L34-H34</f>
        <v>0</v>
      </c>
      <c r="O34" s="67"/>
      <c r="P34" s="103"/>
    </row>
    <row r="35" spans="1:16" x14ac:dyDescent="0.25">
      <c r="A35" s="40"/>
      <c r="C35" s="34"/>
      <c r="D35" s="34"/>
      <c r="E35" s="11"/>
      <c r="F35" s="3"/>
      <c r="G35" s="35"/>
      <c r="H35" s="1"/>
      <c r="I35" s="116" t="str">
        <f>IF(' BUDGET 2019-2021 AN 1'!M40="","",' BUDGET 2019-2021 AN 1'!M40)</f>
        <v/>
      </c>
      <c r="J35" s="103"/>
      <c r="K35" s="124"/>
      <c r="N35" s="114">
        <f t="shared" si="1"/>
        <v>0</v>
      </c>
      <c r="O35" s="67"/>
      <c r="P35" s="103"/>
    </row>
    <row r="36" spans="1:16" x14ac:dyDescent="0.25">
      <c r="A36" s="40"/>
      <c r="E36" s="11"/>
      <c r="F36" s="3"/>
      <c r="G36" s="3"/>
      <c r="H36" s="37"/>
      <c r="I36" s="116" t="str">
        <f>IF(' BUDGET 2019-2021 AN 1'!M41="","",' BUDGET 2019-2021 AN 1'!M41)</f>
        <v/>
      </c>
      <c r="J36" s="103"/>
      <c r="K36" s="125"/>
      <c r="N36" s="114">
        <f t="shared" si="1"/>
        <v>0</v>
      </c>
      <c r="O36" s="67"/>
      <c r="P36" s="103"/>
    </row>
    <row r="37" spans="1:16" x14ac:dyDescent="0.25">
      <c r="A37" s="40"/>
      <c r="C37" s="34"/>
      <c r="E37" s="11"/>
      <c r="F37" s="3"/>
      <c r="G37" s="3"/>
      <c r="H37" s="1"/>
      <c r="I37" s="116" t="str">
        <f>IF(' BUDGET 2019-2021 AN 1'!M42="","",' BUDGET 2019-2021 AN 1'!M42)</f>
        <v/>
      </c>
      <c r="J37" s="103"/>
      <c r="K37" s="124"/>
      <c r="N37" s="114">
        <f t="shared" si="1"/>
        <v>0</v>
      </c>
      <c r="O37" s="67"/>
      <c r="P37" s="103"/>
    </row>
    <row r="38" spans="1:16" x14ac:dyDescent="0.25">
      <c r="A38" s="40"/>
      <c r="C38" s="34"/>
      <c r="E38" s="11"/>
      <c r="F38" s="3"/>
      <c r="G38" s="35"/>
      <c r="H38" s="1"/>
      <c r="I38" s="116" t="str">
        <f>IF(' BUDGET 2019-2021 AN 1'!M43="","",' BUDGET 2019-2021 AN 1'!M43)</f>
        <v/>
      </c>
      <c r="J38" s="103"/>
      <c r="K38" s="124"/>
      <c r="N38" s="114">
        <f t="shared" si="1"/>
        <v>0</v>
      </c>
      <c r="O38" s="67"/>
      <c r="P38" s="103"/>
    </row>
    <row r="39" spans="1:16" x14ac:dyDescent="0.25">
      <c r="A39" s="40"/>
      <c r="E39" s="11"/>
      <c r="F39" s="98"/>
      <c r="G39" s="3"/>
      <c r="H39" s="117"/>
      <c r="I39" s="116" t="str">
        <f>IF(' BUDGET 2019-2021 AN 1'!M44="","",' BUDGET 2019-2021 AN 1'!M44)</f>
        <v/>
      </c>
      <c r="J39" s="103"/>
      <c r="K39" s="125"/>
      <c r="N39" s="114">
        <f t="shared" si="1"/>
        <v>0</v>
      </c>
      <c r="O39" s="67"/>
      <c r="P39" s="103"/>
    </row>
    <row r="40" spans="1:16" x14ac:dyDescent="0.25">
      <c r="A40" s="40"/>
      <c r="C40" s="33"/>
      <c r="E40" s="11"/>
      <c r="F40" s="98"/>
      <c r="G40" s="3"/>
      <c r="H40" s="117"/>
      <c r="I40" s="116" t="str">
        <f>IF(' BUDGET 2019-2021 AN 1'!M45="","",' BUDGET 2019-2021 AN 1'!M45)</f>
        <v/>
      </c>
      <c r="J40" s="103"/>
      <c r="K40" s="124"/>
      <c r="N40" s="114">
        <f t="shared" si="1"/>
        <v>0</v>
      </c>
      <c r="O40" s="67"/>
      <c r="P40" s="103"/>
    </row>
    <row r="41" spans="1:16" x14ac:dyDescent="0.25">
      <c r="A41" s="40"/>
      <c r="C41" s="33"/>
      <c r="E41" s="11"/>
      <c r="F41" s="98"/>
      <c r="G41" s="3"/>
      <c r="H41" s="117"/>
      <c r="I41" s="116" t="str">
        <f>IF(' BUDGET 2019-2021 AN 1'!M46="","",' BUDGET 2019-2021 AN 1'!M46)</f>
        <v/>
      </c>
      <c r="J41" s="103"/>
      <c r="K41" s="124"/>
      <c r="N41" s="114">
        <f t="shared" si="1"/>
        <v>0</v>
      </c>
      <c r="O41" s="67"/>
      <c r="P41" s="103"/>
    </row>
    <row r="42" spans="1:16" ht="15.75" thickBot="1" x14ac:dyDescent="0.3">
      <c r="A42" s="40"/>
      <c r="B42" s="16" t="s">
        <v>14</v>
      </c>
      <c r="C42" s="16"/>
      <c r="D42" s="16"/>
      <c r="E42" s="17"/>
      <c r="F42" s="18"/>
      <c r="G42" s="18"/>
      <c r="H42" s="19">
        <f>SUM(H34:H41)</f>
        <v>0</v>
      </c>
      <c r="I42" s="56" t="e">
        <f>H42/H52</f>
        <v>#DIV/0!</v>
      </c>
      <c r="J42" s="103"/>
      <c r="K42" s="131"/>
      <c r="L42" s="113">
        <f>SUM(L34:L41)</f>
        <v>0</v>
      </c>
      <c r="M42" s="52" t="e">
        <f>L42/L52</f>
        <v>#DIV/0!</v>
      </c>
      <c r="N42" s="115">
        <f>L42-H42</f>
        <v>0</v>
      </c>
      <c r="O42" s="110" t="e">
        <f>M42-I42</f>
        <v>#DIV/0!</v>
      </c>
      <c r="P42" s="103"/>
    </row>
    <row r="43" spans="1:16" ht="4.5" customHeight="1" thickTop="1" x14ac:dyDescent="0.25">
      <c r="A43" s="40"/>
      <c r="E43" s="11"/>
      <c r="F43" s="3"/>
      <c r="G43" s="3"/>
      <c r="H43" s="1"/>
      <c r="I43" s="6"/>
      <c r="J43" s="103"/>
      <c r="K43" s="124"/>
      <c r="N43" s="105"/>
      <c r="O43" s="67"/>
      <c r="P43" s="103"/>
    </row>
    <row r="44" spans="1:16" ht="15" customHeight="1" x14ac:dyDescent="0.25">
      <c r="A44" s="40"/>
      <c r="B44" s="28" t="s">
        <v>17</v>
      </c>
      <c r="C44" s="28"/>
      <c r="D44" s="28"/>
      <c r="E44" s="29"/>
      <c r="F44" s="30"/>
      <c r="G44" s="30"/>
      <c r="H44" s="31"/>
      <c r="I44" s="55"/>
      <c r="J44" s="103"/>
      <c r="K44" s="97"/>
      <c r="L44" s="97"/>
      <c r="M44" s="102"/>
      <c r="N44" s="106"/>
      <c r="O44" s="107"/>
      <c r="P44" s="103"/>
    </row>
    <row r="45" spans="1:16" x14ac:dyDescent="0.25">
      <c r="A45" s="40"/>
      <c r="E45" s="11"/>
      <c r="F45" s="3"/>
      <c r="G45" s="3"/>
      <c r="H45" s="37"/>
      <c r="I45" s="116" t="str">
        <f>IF(' BUDGET 2019-2021 AN 1'!M50="","",' BUDGET 2019-2021 AN 1'!M50)</f>
        <v/>
      </c>
      <c r="J45" s="103"/>
      <c r="K45" s="36"/>
      <c r="N45" s="114">
        <f t="shared" ref="N45:N46" si="2">L45-H45</f>
        <v>0</v>
      </c>
      <c r="O45" s="67"/>
      <c r="P45" s="103"/>
    </row>
    <row r="46" spans="1:16" x14ac:dyDescent="0.25">
      <c r="A46" s="40"/>
      <c r="E46" s="11"/>
      <c r="F46" s="3"/>
      <c r="G46" s="3"/>
      <c r="H46" s="37"/>
      <c r="I46" s="116" t="str">
        <f>IF(' BUDGET 2019-2021 AN 1'!M54="","",' BUDGET 2019-2021 AN 1'!M54)</f>
        <v/>
      </c>
      <c r="J46" s="103"/>
      <c r="K46" s="36"/>
      <c r="N46" s="114">
        <f t="shared" si="2"/>
        <v>0</v>
      </c>
      <c r="O46" s="67"/>
      <c r="P46" s="103"/>
    </row>
    <row r="47" spans="1:16" ht="15.75" thickBot="1" x14ac:dyDescent="0.3">
      <c r="A47" s="40"/>
      <c r="B47" s="16" t="s">
        <v>14</v>
      </c>
      <c r="C47" s="16"/>
      <c r="D47" s="16"/>
      <c r="E47" s="17"/>
      <c r="F47" s="18"/>
      <c r="G47" s="18"/>
      <c r="H47" s="19">
        <f>SUM(H45:H46)</f>
        <v>0</v>
      </c>
      <c r="I47" s="56" t="e">
        <f>H47/H52</f>
        <v>#DIV/0!</v>
      </c>
      <c r="J47" s="103"/>
      <c r="K47" s="113"/>
      <c r="L47" s="113">
        <f>SUM(L45:L46)</f>
        <v>0</v>
      </c>
      <c r="M47" s="52" t="e">
        <f>L47/L52</f>
        <v>#DIV/0!</v>
      </c>
      <c r="N47" s="115">
        <f>L47-H47</f>
        <v>0</v>
      </c>
      <c r="O47" s="110" t="e">
        <f>M47-I47</f>
        <v>#DIV/0!</v>
      </c>
      <c r="P47" s="103"/>
    </row>
    <row r="48" spans="1:16" ht="5.25" customHeight="1" thickTop="1" x14ac:dyDescent="0.25">
      <c r="A48" s="40"/>
      <c r="B48" s="73"/>
      <c r="C48" s="73"/>
      <c r="D48" s="73"/>
      <c r="E48" s="74"/>
      <c r="F48" s="75"/>
      <c r="G48" s="75"/>
      <c r="H48" s="76"/>
      <c r="I48" s="77"/>
      <c r="J48" s="103"/>
      <c r="K48" s="1"/>
      <c r="N48" s="105"/>
      <c r="O48" s="67"/>
      <c r="P48" s="103"/>
    </row>
    <row r="49" spans="1:16" x14ac:dyDescent="0.25">
      <c r="A49" s="40"/>
      <c r="B49" s="79" t="s">
        <v>28</v>
      </c>
      <c r="C49" s="79"/>
      <c r="D49" s="79"/>
      <c r="E49" s="80"/>
      <c r="F49" s="81"/>
      <c r="G49" s="81"/>
      <c r="H49" s="82">
        <f>IF(H52&lt;50000,-50000+H52,H52-'HYPOTHÈSE $'!D4)</f>
        <v>-50000</v>
      </c>
      <c r="I49" s="83"/>
      <c r="J49" s="103"/>
      <c r="K49" s="81"/>
      <c r="L49" s="81"/>
      <c r="M49" s="81"/>
      <c r="N49" s="81"/>
      <c r="O49" s="81"/>
      <c r="P49" s="103"/>
    </row>
    <row r="50" spans="1:16" ht="4.5" customHeight="1" x14ac:dyDescent="0.25">
      <c r="A50" s="40"/>
      <c r="E50" s="11"/>
      <c r="F50" s="3"/>
      <c r="G50" s="3"/>
      <c r="H50" s="1"/>
      <c r="I50" s="6"/>
      <c r="J50" s="103"/>
      <c r="K50" s="1"/>
      <c r="N50" s="105"/>
      <c r="O50" s="67"/>
      <c r="P50" s="103"/>
    </row>
    <row r="51" spans="1:16" ht="18" customHeight="1" x14ac:dyDescent="0.25">
      <c r="A51" s="40"/>
      <c r="B51" t="s">
        <v>34</v>
      </c>
      <c r="E51" s="11"/>
      <c r="F51" s="3"/>
      <c r="G51" s="3"/>
      <c r="H51" s="1"/>
      <c r="I51" s="6"/>
      <c r="J51" s="103"/>
      <c r="K51" s="1"/>
      <c r="L51" s="1">
        <v>12500</v>
      </c>
      <c r="N51" s="105" t="s">
        <v>43</v>
      </c>
      <c r="O51" s="67"/>
      <c r="P51" s="103"/>
    </row>
    <row r="52" spans="1:16" ht="19.5" thickBot="1" x14ac:dyDescent="0.35">
      <c r="A52" s="40"/>
      <c r="B52" s="323" t="s">
        <v>20</v>
      </c>
      <c r="C52" s="323"/>
      <c r="D52" s="323"/>
      <c r="E52" s="323"/>
      <c r="F52" s="323"/>
      <c r="G52" s="323"/>
      <c r="H52" s="32">
        <f>H47+H42+H31+H23</f>
        <v>0</v>
      </c>
      <c r="I52" s="109">
        <f>H52/50000</f>
        <v>0</v>
      </c>
      <c r="J52" s="103"/>
      <c r="K52" s="32"/>
      <c r="L52" s="32">
        <f>L47+L42+L31+L23</f>
        <v>0</v>
      </c>
      <c r="M52" s="109">
        <f>L52/50000</f>
        <v>0</v>
      </c>
      <c r="N52" s="32">
        <f>N47+N42+N31+N23</f>
        <v>0</v>
      </c>
      <c r="O52" s="132">
        <f>M52-I52</f>
        <v>0</v>
      </c>
      <c r="P52" s="103"/>
    </row>
    <row r="53" spans="1:16" ht="16.5" customHeight="1" x14ac:dyDescent="0.25">
      <c r="A53" s="345" t="s">
        <v>35</v>
      </c>
      <c r="B53" s="345"/>
      <c r="C53" s="345"/>
      <c r="D53" s="345"/>
      <c r="E53" s="345"/>
      <c r="F53" s="345"/>
      <c r="G53" s="345"/>
      <c r="H53" s="345"/>
      <c r="I53" s="345"/>
      <c r="J53" s="103"/>
      <c r="K53" s="346">
        <f>L52-L51</f>
        <v>-12500</v>
      </c>
      <c r="L53" s="346"/>
      <c r="M53" s="348" t="e">
        <f>K53/L52</f>
        <v>#DIV/0!</v>
      </c>
      <c r="N53" s="136" t="s">
        <v>41</v>
      </c>
      <c r="O53" s="134"/>
      <c r="P53" s="103"/>
    </row>
    <row r="54" spans="1:16" ht="15" customHeight="1" x14ac:dyDescent="0.25">
      <c r="A54" s="345"/>
      <c r="B54" s="345"/>
      <c r="C54" s="345"/>
      <c r="D54" s="345"/>
      <c r="E54" s="345"/>
      <c r="F54" s="345"/>
      <c r="G54" s="345"/>
      <c r="H54" s="345"/>
      <c r="I54" s="345"/>
      <c r="J54" s="103"/>
      <c r="K54" s="347"/>
      <c r="L54" s="347"/>
      <c r="M54" s="349"/>
      <c r="N54" s="137" t="s">
        <v>42</v>
      </c>
      <c r="O54" s="135"/>
      <c r="P54" s="103"/>
    </row>
    <row r="55" spans="1:16" ht="8.25" customHeight="1" x14ac:dyDescent="0.25">
      <c r="D55" s="87"/>
      <c r="E55" s="119"/>
      <c r="F55" s="119"/>
      <c r="G55" s="119"/>
      <c r="H55" s="1"/>
      <c r="I55" s="6"/>
      <c r="J55" s="103"/>
      <c r="K55" s="103"/>
      <c r="L55" s="120"/>
      <c r="M55" s="103"/>
      <c r="N55" s="103"/>
      <c r="O55" s="103"/>
      <c r="P55" s="103"/>
    </row>
    <row r="56" spans="1:16" x14ac:dyDescent="0.25">
      <c r="A56" s="91" t="s">
        <v>30</v>
      </c>
      <c r="B56" s="92"/>
      <c r="C56" s="92"/>
      <c r="D56" s="92"/>
      <c r="E56" s="93"/>
      <c r="F56" s="94"/>
      <c r="G56" s="94"/>
      <c r="H56" s="95"/>
      <c r="I56" s="96" t="s">
        <v>31</v>
      </c>
    </row>
    <row r="57" spans="1:16" x14ac:dyDescent="0.25">
      <c r="A57" s="101"/>
      <c r="E57" s="11"/>
      <c r="F57" s="3"/>
      <c r="G57" s="3"/>
      <c r="H57" s="340"/>
      <c r="I57" s="340"/>
    </row>
    <row r="58" spans="1:16" x14ac:dyDescent="0.25">
      <c r="A58" s="101"/>
      <c r="E58" s="11"/>
      <c r="F58" s="3"/>
      <c r="G58" s="3"/>
      <c r="H58" s="340"/>
      <c r="I58" s="340"/>
    </row>
    <row r="59" spans="1:16" x14ac:dyDescent="0.25">
      <c r="A59" s="101"/>
      <c r="E59" s="11"/>
      <c r="F59" s="3"/>
      <c r="G59" s="3"/>
      <c r="H59" s="340"/>
      <c r="I59" s="340"/>
    </row>
    <row r="60" spans="1:16" x14ac:dyDescent="0.25">
      <c r="A60" s="101"/>
      <c r="B60" s="89"/>
      <c r="E60" s="11"/>
      <c r="F60" s="3"/>
      <c r="G60" s="3"/>
      <c r="H60" s="340"/>
      <c r="I60" s="340"/>
    </row>
    <row r="61" spans="1:16" x14ac:dyDescent="0.25">
      <c r="A61" s="101"/>
      <c r="E61" s="11"/>
      <c r="F61" s="3"/>
      <c r="G61" s="3"/>
      <c r="H61" s="340"/>
      <c r="I61" s="340"/>
    </row>
    <row r="62" spans="1:16" x14ac:dyDescent="0.25">
      <c r="A62" s="101"/>
      <c r="H62" s="340"/>
      <c r="I62" s="340"/>
    </row>
    <row r="63" spans="1:16" x14ac:dyDescent="0.25">
      <c r="A63" s="101"/>
      <c r="H63" s="340"/>
      <c r="I63" s="340"/>
    </row>
    <row r="64" spans="1:16" x14ac:dyDescent="0.25">
      <c r="A64" s="101"/>
      <c r="H64" s="340"/>
      <c r="I64" s="340"/>
    </row>
    <row r="65" spans="4:9" x14ac:dyDescent="0.25">
      <c r="D65" t="str">
        <f>IF(' BUDGET 2019-2021 AN 1'!D70="","",' BUDGET 2019-2021 AN 1'!D70)</f>
        <v/>
      </c>
      <c r="H65" s="340" t="str">
        <f>IF(' BUDGET 2019-2021 AN 1'!H70:M70="","",' BUDGET 2019-2021 AN 1'!H70:M70)</f>
        <v/>
      </c>
      <c r="I65" s="340"/>
    </row>
    <row r="66" spans="4:9" x14ac:dyDescent="0.25">
      <c r="D66" t="str">
        <f>IF(' BUDGET 2019-2021 AN 1'!D71="","",' BUDGET 2019-2021 AN 1'!D71)</f>
        <v/>
      </c>
      <c r="H66" s="340" t="str">
        <f>IF(' BUDGET 2019-2021 AN 1'!H71:M71="","",' BUDGET 2019-2021 AN 1'!H71:M71)</f>
        <v/>
      </c>
      <c r="I66" s="340"/>
    </row>
    <row r="67" spans="4:9" x14ac:dyDescent="0.25">
      <c r="D67" t="str">
        <f>IF(' BUDGET 2019-2021 AN 1'!D72="","",' BUDGET 2019-2021 AN 1'!D72)</f>
        <v/>
      </c>
      <c r="H67" s="340" t="str">
        <f>IF(' BUDGET 2019-2021 AN 1'!H72:M72="","",' BUDGET 2019-2021 AN 1'!H72:M72)</f>
        <v/>
      </c>
      <c r="I67" s="340"/>
    </row>
    <row r="68" spans="4:9" x14ac:dyDescent="0.25">
      <c r="D68" t="str">
        <f>IF(' BUDGET 2019-2021 AN 1'!D73="","",' BUDGET 2019-2021 AN 1'!D73)</f>
        <v/>
      </c>
    </row>
    <row r="69" spans="4:9" x14ac:dyDescent="0.25">
      <c r="D69" t="str">
        <f>IF(' BUDGET 2019-2021 AN 1'!D74="","",' BUDGET 2019-2021 AN 1'!D74)</f>
        <v/>
      </c>
    </row>
  </sheetData>
  <mergeCells count="20">
    <mergeCell ref="H67:I67"/>
    <mergeCell ref="H62:I62"/>
    <mergeCell ref="H63:I63"/>
    <mergeCell ref="H64:I64"/>
    <mergeCell ref="H65:I65"/>
    <mergeCell ref="H66:I66"/>
    <mergeCell ref="D1:P2"/>
    <mergeCell ref="H59:I59"/>
    <mergeCell ref="H60:I60"/>
    <mergeCell ref="H61:I61"/>
    <mergeCell ref="N4:O4"/>
    <mergeCell ref="B4:I4"/>
    <mergeCell ref="B5:D5"/>
    <mergeCell ref="B52:G52"/>
    <mergeCell ref="H57:I57"/>
    <mergeCell ref="H58:I58"/>
    <mergeCell ref="K4:M4"/>
    <mergeCell ref="A53:I54"/>
    <mergeCell ref="K53:L54"/>
    <mergeCell ref="M53:M5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DOCUMENTS</vt:lpstr>
      <vt:lpstr>HYPOTHÈSE $</vt:lpstr>
      <vt:lpstr>ACTIVITÉS</vt:lpstr>
      <vt:lpstr>NOTES</vt:lpstr>
      <vt:lpstr> BUDGET 2019-2021 AN 1</vt:lpstr>
      <vt:lpstr>BUDGET 2019-2021 AN 2</vt:lpstr>
      <vt:lpstr>BUDGET 2019-2021 AN 3</vt:lpstr>
      <vt:lpstr>BUDGET 2019-2021 GLOBAL</vt:lpstr>
      <vt:lpstr>SUIVI AN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Clément</dc:creator>
  <cp:lastModifiedBy>Clément</cp:lastModifiedBy>
  <cp:lastPrinted>2018-11-01T15:45:02Z</cp:lastPrinted>
  <dcterms:created xsi:type="dcterms:W3CDTF">2018-10-01T16:35:56Z</dcterms:created>
  <dcterms:modified xsi:type="dcterms:W3CDTF">2019-02-15T23:55:15Z</dcterms:modified>
</cp:coreProperties>
</file>